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bilidad de una vivienda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4" fontId="4" fillId="3" borderId="1" pivotButton="0" quotePrefix="0" xfId="0"/>
    <xf numFmtId="164" fontId="4" fillId="3" borderId="1" pivotButton="0" quotePrefix="0" xfId="0"/>
    <xf numFmtId="10" fontId="4" fillId="3" borderId="1" pivotButton="0" quotePrefix="0" xfId="0"/>
    <xf numFmtId="3" fontId="4" fillId="3" borderId="1" pivotButton="0" quotePrefix="0" xfId="0"/>
    <xf numFmtId="0" fontId="5" fillId="0" borderId="1" pivotButton="0" quotePrefix="0" xfId="0"/>
    <xf numFmtId="4" fontId="5" fillId="0" borderId="1" pivotButton="0" quotePrefix="0" xfId="0"/>
    <xf numFmtId="164" fontId="5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3" fontId="4" fillId="0" borderId="1" pivotButton="0" quotePrefix="0" xfId="0"/>
    <xf numFmtId="4" fontId="4" fillId="0" borderId="1" pivotButton="0" quotePrefix="0" xfId="0"/>
    <xf numFmtId="3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" customWidth="1" min="3" max="3"/>
    <col width="8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Rentabilidad de una vivienda en alquiler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La compra</t>
        </is>
      </c>
      <c r="B4" s="4" t="n"/>
    </row>
    <row r="5">
      <c r="A5" s="5" t="inlineStr">
        <is>
          <t>Precio de la vivienda</t>
        </is>
      </c>
      <c r="B5" s="6" t="n">
        <v>200000</v>
      </c>
    </row>
    <row r="6">
      <c r="A6" s="5" t="inlineStr">
        <is>
          <t>Impuestos de la compra (%)</t>
        </is>
      </c>
      <c r="B6" s="7" t="n">
        <v>0.1</v>
      </c>
    </row>
    <row r="7">
      <c r="A7" s="5" t="inlineStr">
        <is>
          <t>Notaría, registro, gestoría y tasación</t>
        </is>
      </c>
      <c r="B7" s="6" t="n">
        <v>3000</v>
      </c>
    </row>
    <row r="8">
      <c r="A8" s="5" t="inlineStr">
        <is>
          <t>Reforma y mobiliario</t>
        </is>
      </c>
      <c r="B8" s="6" t="n">
        <v>5000</v>
      </c>
    </row>
    <row r="9">
      <c r="A9" s="3" t="inlineStr">
        <is>
          <t>Financiación</t>
        </is>
      </c>
      <c r="B9" s="4" t="n"/>
    </row>
    <row r="10">
      <c r="A10" s="5" t="inlineStr">
        <is>
          <t>Importe de la hipoteca</t>
        </is>
      </c>
      <c r="B10" s="6" t="n">
        <v>140000</v>
      </c>
    </row>
    <row r="11">
      <c r="A11" s="5" t="inlineStr">
        <is>
          <t>Tipo de interés anual (TIN)</t>
        </is>
      </c>
      <c r="B11" s="8" t="n">
        <v>0.03</v>
      </c>
    </row>
    <row r="12">
      <c r="A12" s="5" t="inlineStr">
        <is>
          <t>Plazo de la hipoteca (años)</t>
        </is>
      </c>
      <c r="B12" s="9" t="n">
        <v>25</v>
      </c>
    </row>
    <row r="13">
      <c r="A13" s="3" t="inlineStr">
        <is>
          <t>El alquiler</t>
        </is>
      </c>
      <c r="B13" s="4" t="n"/>
    </row>
    <row r="14">
      <c r="A14" s="5" t="inlineStr">
        <is>
          <t>Alquiler mensual</t>
        </is>
      </c>
      <c r="B14" s="6" t="n">
        <v>1000</v>
      </c>
    </row>
    <row r="15">
      <c r="A15" s="5" t="inlineStr">
        <is>
          <t>Meses alquilada al año</t>
        </is>
      </c>
      <c r="B15" s="9" t="n">
        <v>11</v>
      </c>
    </row>
    <row r="16">
      <c r="A16" s="5" t="inlineStr">
        <is>
          <t>Subida anual del alquiler</t>
        </is>
      </c>
      <c r="B16" s="7" t="n">
        <v>0.02</v>
      </c>
    </row>
    <row r="17">
      <c r="A17" s="3" t="inlineStr">
        <is>
          <t>Gastos anuales</t>
        </is>
      </c>
      <c r="B17" s="4" t="n"/>
    </row>
    <row r="18">
      <c r="A18" s="5" t="inlineStr">
        <is>
          <t>Comunidad</t>
        </is>
      </c>
      <c r="B18" s="6" t="n">
        <v>600</v>
      </c>
    </row>
    <row r="19">
      <c r="A19" s="5" t="inlineStr">
        <is>
          <t>Impuesto sobre la vivienda</t>
        </is>
      </c>
      <c r="B19" s="6" t="n">
        <v>400</v>
      </c>
    </row>
    <row r="20">
      <c r="A20" s="5" t="inlineStr">
        <is>
          <t>Seguros</t>
        </is>
      </c>
      <c r="B20" s="6" t="n">
        <v>250</v>
      </c>
    </row>
    <row r="21">
      <c r="A21" s="5" t="inlineStr">
        <is>
          <t>Otros gastos fijos</t>
        </is>
      </c>
      <c r="B21" s="6" t="n">
        <v>0</v>
      </c>
    </row>
    <row r="22">
      <c r="A22" s="5" t="inlineStr">
        <is>
          <t>Mantenimiento (% del alquiler)</t>
        </is>
      </c>
      <c r="B22" s="7" t="n">
        <v>0.05</v>
      </c>
    </row>
    <row r="23">
      <c r="A23" s="5" t="inlineStr">
        <is>
          <t>Gestión (% del alquiler)</t>
        </is>
      </c>
      <c r="B23" s="7" t="n">
        <v>0</v>
      </c>
    </row>
    <row r="24">
      <c r="A24" s="5" t="inlineStr">
        <is>
          <t>Subida anual de los gastos</t>
        </is>
      </c>
      <c r="B24" s="7" t="n">
        <v>0.02</v>
      </c>
    </row>
    <row r="25">
      <c r="A25" s="3" t="inlineStr">
        <is>
          <t>Estimaciones</t>
        </is>
      </c>
      <c r="B25" s="4" t="n"/>
    </row>
    <row r="26">
      <c r="A26" s="5" t="inlineStr">
        <is>
          <t>Revalorización anual</t>
        </is>
      </c>
      <c r="B26" s="7" t="n">
        <v>0.02</v>
      </c>
    </row>
    <row r="27">
      <c r="A27" s="5" t="inlineStr">
        <is>
          <t>Años hasta vender (máx. 30)</t>
        </is>
      </c>
      <c r="B27" s="9" t="n">
        <v>10</v>
      </c>
    </row>
    <row r="28">
      <c r="A28" s="5" t="inlineStr">
        <is>
          <t>Gastos de la venta (%)</t>
        </is>
      </c>
      <c r="B28" s="7" t="n">
        <v>0.05</v>
      </c>
    </row>
    <row r="29">
      <c r="A29" s="5" t="inlineStr">
        <is>
          <t>Impuesto sobre el beneficio (%)</t>
        </is>
      </c>
      <c r="B29" s="7" t="n">
        <v>0</v>
      </c>
    </row>
    <row r="30">
      <c r="A30" s="3" t="inlineStr">
        <is>
          <t>Resultados</t>
        </is>
      </c>
      <c r="B30" s="4" t="n"/>
    </row>
    <row r="31">
      <c r="A31" s="10" t="inlineStr">
        <is>
          <t>Coste total</t>
        </is>
      </c>
      <c r="B31" s="11">
        <f>B5*(1+B6)+B7+B8</f>
        <v/>
      </c>
    </row>
    <row r="32">
      <c r="A32" s="10" t="inlineStr">
        <is>
          <t>Dinero que pones</t>
        </is>
      </c>
      <c r="B32" s="11">
        <f>B31-B10</f>
        <v/>
      </c>
    </row>
    <row r="33">
      <c r="A33" s="10" t="inlineStr">
        <is>
          <t>Cuota mensual</t>
        </is>
      </c>
      <c r="B33" s="11">
        <f>IF(B10&lt;=0,0,IF(B11=0,B10/(B12*12),PMT(B11/12,B12*12,-B10)))</f>
        <v/>
      </c>
    </row>
    <row r="34">
      <c r="A34" s="10" t="inlineStr">
        <is>
          <t>Rentabilidad bruta</t>
        </is>
      </c>
      <c r="B34" s="12">
        <f>B14*12/B5</f>
        <v/>
      </c>
    </row>
    <row r="35">
      <c r="A35" s="13" t="inlineStr">
        <is>
          <t>Rentabilidad neta (año 1)</t>
        </is>
      </c>
      <c r="B35" s="14">
        <f>H40/B31</f>
        <v/>
      </c>
    </row>
    <row r="36">
      <c r="A36" s="10" t="inlineStr">
        <is>
          <t>Caja al mes (año 1)</t>
        </is>
      </c>
      <c r="B36" s="11">
        <f>L40/12</f>
        <v/>
      </c>
    </row>
    <row r="37">
      <c r="A37" s="10" t="inlineStr">
        <is>
          <t>Rentabilidad sobre tu dinero</t>
        </is>
      </c>
      <c r="B37" s="12">
        <f>IF(B32&gt;0,L40/B32,0)</f>
        <v/>
      </c>
    </row>
    <row r="38">
      <c r="A38" s="10" t="inlineStr">
        <is>
          <t>Recuperas al vender</t>
        </is>
      </c>
      <c r="B38" s="11">
        <f>INDEX(N40:N69,B27)*(1-B28)-INDEX(M40:M69,B27)</f>
        <v/>
      </c>
      <c r="D38" s="15" t="inlineStr">
        <is>
          <t>Año</t>
        </is>
      </c>
      <c r="E38" s="16" t="inlineStr">
        <is>
          <t>Alquiler cobrado</t>
        </is>
      </c>
      <c r="F38" s="16" t="inlineStr">
        <is>
          <t>Gastos</t>
        </is>
      </c>
      <c r="G38" s="16" t="inlineStr">
        <is>
          <t>Neto</t>
        </is>
      </c>
      <c r="H38" s="16" t="inlineStr">
        <is>
          <t>Intereses</t>
        </is>
      </c>
      <c r="I38" s="16" t="inlineStr">
        <is>
          <t>Cuotas pagadas</t>
        </is>
      </c>
      <c r="J38" s="16" t="inlineStr">
        <is>
          <t>Impuesto</t>
        </is>
      </c>
      <c r="K38" s="16" t="inlineStr">
        <is>
          <t>Caja</t>
        </is>
      </c>
      <c r="L38" s="16" t="inlineStr">
        <is>
          <t>Deuda pendiente</t>
        </is>
      </c>
      <c r="M38" s="16" t="inlineStr">
        <is>
          <t>Valor de la vivienda</t>
        </is>
      </c>
      <c r="N38" s="16" t="inlineStr">
        <is>
          <t>Flujo para la TIR</t>
        </is>
      </c>
    </row>
    <row r="39">
      <c r="A39" s="13" t="inlineStr">
        <is>
          <t>TIR hasta la venta</t>
        </is>
      </c>
      <c r="B39" s="14">
        <f>IRR(O39:O69)</f>
        <v/>
      </c>
      <c r="D39" s="17" t="n">
        <v>0</v>
      </c>
      <c r="M39" s="18">
        <f>B10</f>
        <v/>
      </c>
      <c r="N39" s="18">
        <f>B5</f>
        <v/>
      </c>
      <c r="O39" s="18">
        <f>-B32</f>
        <v/>
      </c>
    </row>
    <row r="40">
      <c r="D40" s="19">
        <f>IF(1&gt;$B$27,"",1)</f>
        <v/>
      </c>
      <c r="E40" s="20">
        <f>IF(1&gt;$B$27,"",$B$14*$B$15*(1+$B$16)^(1-1))</f>
        <v/>
      </c>
      <c r="F40" s="20">
        <f>IF(1&gt;$B$27,"",($B$18+$B$19+$B$20+$B$21)*(1+$B$24)^(1-1)+E40*($B$22+$B$23))</f>
        <v/>
      </c>
      <c r="H40" s="20">
        <f>IF(1&gt;$B$27,"",E40-F40)</f>
        <v/>
      </c>
      <c r="I40" s="20">
        <f>IF(1&gt;$B$27,"",J40-(M39-M40))</f>
        <v/>
      </c>
      <c r="J40" s="20">
        <f>IF(1&gt;$B$27,"",$B$33*MAX(0,MIN(12,$B$12*12-(1-1)*12)))</f>
        <v/>
      </c>
      <c r="K40" s="20">
        <f>IF(1&gt;$B$27,"",$B$29*MAX(0,H40-I40))</f>
        <v/>
      </c>
      <c r="L40" s="20">
        <f>IF(1&gt;$B$27,"",H40-J40-K40)</f>
        <v/>
      </c>
      <c r="M40" s="20">
        <f>IF(1&gt;$B$27,"",IF($B$10&lt;=0,0,IF(1*12&gt;=$B$12*12,0,IF($B$11=0,$B$10-$B$33*1*12,PV($B$11/12,$B$12*12-1*12,-$B$33)))))</f>
        <v/>
      </c>
      <c r="N40" s="20">
        <f>IF(1&gt;$B$27,"",$B$5*(1+$B$26)^1)</f>
        <v/>
      </c>
      <c r="O40" s="20">
        <f>IF(1&gt;$B$27,"",L40+IF(1=$B$27,N40*(1-$B$28)-M40,0))</f>
        <v/>
      </c>
    </row>
    <row r="41">
      <c r="D41" s="19">
        <f>IF(2&gt;$B$27,"",2)</f>
        <v/>
      </c>
      <c r="E41" s="20">
        <f>IF(2&gt;$B$27,"",$B$14*$B$15*(1+$B$16)^(2-1))</f>
        <v/>
      </c>
      <c r="F41" s="20">
        <f>IF(2&gt;$B$27,"",($B$18+$B$19+$B$20+$B$21)*(1+$B$24)^(2-1)+E41*($B$22+$B$23))</f>
        <v/>
      </c>
      <c r="H41" s="20">
        <f>IF(2&gt;$B$27,"",E41-F41)</f>
        <v/>
      </c>
      <c r="I41" s="20">
        <f>IF(2&gt;$B$27,"",J41-(M40-M41))</f>
        <v/>
      </c>
      <c r="J41" s="20">
        <f>IF(2&gt;$B$27,"",$B$33*MAX(0,MIN(12,$B$12*12-(2-1)*12)))</f>
        <v/>
      </c>
      <c r="K41" s="20">
        <f>IF(2&gt;$B$27,"",$B$29*MAX(0,H41-I41))</f>
        <v/>
      </c>
      <c r="L41" s="20">
        <f>IF(2&gt;$B$27,"",H41-J41-K41)</f>
        <v/>
      </c>
      <c r="M41" s="20">
        <f>IF(2&gt;$B$27,"",IF($B$10&lt;=0,0,IF(2*12&gt;=$B$12*12,0,IF($B$11=0,$B$10-$B$33*2*12,PV($B$11/12,$B$12*12-2*12,-$B$33)))))</f>
        <v/>
      </c>
      <c r="N41" s="20">
        <f>IF(2&gt;$B$27,"",$B$5*(1+$B$26)^2)</f>
        <v/>
      </c>
      <c r="O41" s="20">
        <f>IF(2&gt;$B$27,"",L41+IF(2=$B$27,N41*(1-$B$28)-M41,0))</f>
        <v/>
      </c>
    </row>
    <row r="42">
      <c r="D42" s="19">
        <f>IF(3&gt;$B$27,"",3)</f>
        <v/>
      </c>
      <c r="E42" s="20">
        <f>IF(3&gt;$B$27,"",$B$14*$B$15*(1+$B$16)^(3-1))</f>
        <v/>
      </c>
      <c r="F42" s="20">
        <f>IF(3&gt;$B$27,"",($B$18+$B$19+$B$20+$B$21)*(1+$B$24)^(3-1)+E42*($B$22+$B$23))</f>
        <v/>
      </c>
      <c r="H42" s="20">
        <f>IF(3&gt;$B$27,"",E42-F42)</f>
        <v/>
      </c>
      <c r="I42" s="20">
        <f>IF(3&gt;$B$27,"",J42-(M41-M42))</f>
        <v/>
      </c>
      <c r="J42" s="20">
        <f>IF(3&gt;$B$27,"",$B$33*MAX(0,MIN(12,$B$12*12-(3-1)*12)))</f>
        <v/>
      </c>
      <c r="K42" s="20">
        <f>IF(3&gt;$B$27,"",$B$29*MAX(0,H42-I42))</f>
        <v/>
      </c>
      <c r="L42" s="20">
        <f>IF(3&gt;$B$27,"",H42-J42-K42)</f>
        <v/>
      </c>
      <c r="M42" s="20">
        <f>IF(3&gt;$B$27,"",IF($B$10&lt;=0,0,IF(3*12&gt;=$B$12*12,0,IF($B$11=0,$B$10-$B$33*3*12,PV($B$11/12,$B$12*12-3*12,-$B$33)))))</f>
        <v/>
      </c>
      <c r="N42" s="20">
        <f>IF(3&gt;$B$27,"",$B$5*(1+$B$26)^3)</f>
        <v/>
      </c>
      <c r="O42" s="20">
        <f>IF(3&gt;$B$27,"",L42+IF(3=$B$27,N42*(1-$B$28)-M42,0))</f>
        <v/>
      </c>
    </row>
    <row r="43">
      <c r="D43" s="19">
        <f>IF(4&gt;$B$27,"",4)</f>
        <v/>
      </c>
      <c r="E43" s="20">
        <f>IF(4&gt;$B$27,"",$B$14*$B$15*(1+$B$16)^(4-1))</f>
        <v/>
      </c>
      <c r="F43" s="20">
        <f>IF(4&gt;$B$27,"",($B$18+$B$19+$B$20+$B$21)*(1+$B$24)^(4-1)+E43*($B$22+$B$23))</f>
        <v/>
      </c>
      <c r="H43" s="20">
        <f>IF(4&gt;$B$27,"",E43-F43)</f>
        <v/>
      </c>
      <c r="I43" s="20">
        <f>IF(4&gt;$B$27,"",J43-(M42-M43))</f>
        <v/>
      </c>
      <c r="J43" s="20">
        <f>IF(4&gt;$B$27,"",$B$33*MAX(0,MIN(12,$B$12*12-(4-1)*12)))</f>
        <v/>
      </c>
      <c r="K43" s="20">
        <f>IF(4&gt;$B$27,"",$B$29*MAX(0,H43-I43))</f>
        <v/>
      </c>
      <c r="L43" s="20">
        <f>IF(4&gt;$B$27,"",H43-J43-K43)</f>
        <v/>
      </c>
      <c r="M43" s="20">
        <f>IF(4&gt;$B$27,"",IF($B$10&lt;=0,0,IF(4*12&gt;=$B$12*12,0,IF($B$11=0,$B$10-$B$33*4*12,PV($B$11/12,$B$12*12-4*12,-$B$33)))))</f>
        <v/>
      </c>
      <c r="N43" s="20">
        <f>IF(4&gt;$B$27,"",$B$5*(1+$B$26)^4)</f>
        <v/>
      </c>
      <c r="O43" s="20">
        <f>IF(4&gt;$B$27,"",L43+IF(4=$B$27,N43*(1-$B$28)-M43,0))</f>
        <v/>
      </c>
    </row>
    <row r="44">
      <c r="D44" s="19">
        <f>IF(5&gt;$B$27,"",5)</f>
        <v/>
      </c>
      <c r="E44" s="20">
        <f>IF(5&gt;$B$27,"",$B$14*$B$15*(1+$B$16)^(5-1))</f>
        <v/>
      </c>
      <c r="F44" s="20">
        <f>IF(5&gt;$B$27,"",($B$18+$B$19+$B$20+$B$21)*(1+$B$24)^(5-1)+E44*($B$22+$B$23))</f>
        <v/>
      </c>
      <c r="H44" s="20">
        <f>IF(5&gt;$B$27,"",E44-F44)</f>
        <v/>
      </c>
      <c r="I44" s="20">
        <f>IF(5&gt;$B$27,"",J44-(M43-M44))</f>
        <v/>
      </c>
      <c r="J44" s="20">
        <f>IF(5&gt;$B$27,"",$B$33*MAX(0,MIN(12,$B$12*12-(5-1)*12)))</f>
        <v/>
      </c>
      <c r="K44" s="20">
        <f>IF(5&gt;$B$27,"",$B$29*MAX(0,H44-I44))</f>
        <v/>
      </c>
      <c r="L44" s="20">
        <f>IF(5&gt;$B$27,"",H44-J44-K44)</f>
        <v/>
      </c>
      <c r="M44" s="20">
        <f>IF(5&gt;$B$27,"",IF($B$10&lt;=0,0,IF(5*12&gt;=$B$12*12,0,IF($B$11=0,$B$10-$B$33*5*12,PV($B$11/12,$B$12*12-5*12,-$B$33)))))</f>
        <v/>
      </c>
      <c r="N44" s="20">
        <f>IF(5&gt;$B$27,"",$B$5*(1+$B$26)^5)</f>
        <v/>
      </c>
      <c r="O44" s="20">
        <f>IF(5&gt;$B$27,"",L44+IF(5=$B$27,N44*(1-$B$28)-M44,0))</f>
        <v/>
      </c>
    </row>
    <row r="45">
      <c r="D45" s="19">
        <f>IF(6&gt;$B$27,"",6)</f>
        <v/>
      </c>
      <c r="E45" s="20">
        <f>IF(6&gt;$B$27,"",$B$14*$B$15*(1+$B$16)^(6-1))</f>
        <v/>
      </c>
      <c r="F45" s="20">
        <f>IF(6&gt;$B$27,"",($B$18+$B$19+$B$20+$B$21)*(1+$B$24)^(6-1)+E45*($B$22+$B$23))</f>
        <v/>
      </c>
      <c r="H45" s="20">
        <f>IF(6&gt;$B$27,"",E45-F45)</f>
        <v/>
      </c>
      <c r="I45" s="20">
        <f>IF(6&gt;$B$27,"",J45-(M44-M45))</f>
        <v/>
      </c>
      <c r="J45" s="20">
        <f>IF(6&gt;$B$27,"",$B$33*MAX(0,MIN(12,$B$12*12-(6-1)*12)))</f>
        <v/>
      </c>
      <c r="K45" s="20">
        <f>IF(6&gt;$B$27,"",$B$29*MAX(0,H45-I45))</f>
        <v/>
      </c>
      <c r="L45" s="20">
        <f>IF(6&gt;$B$27,"",H45-J45-K45)</f>
        <v/>
      </c>
      <c r="M45" s="20">
        <f>IF(6&gt;$B$27,"",IF($B$10&lt;=0,0,IF(6*12&gt;=$B$12*12,0,IF($B$11=0,$B$10-$B$33*6*12,PV($B$11/12,$B$12*12-6*12,-$B$33)))))</f>
        <v/>
      </c>
      <c r="N45" s="20">
        <f>IF(6&gt;$B$27,"",$B$5*(1+$B$26)^6)</f>
        <v/>
      </c>
      <c r="O45" s="20">
        <f>IF(6&gt;$B$27,"",L45+IF(6=$B$27,N45*(1-$B$28)-M45,0))</f>
        <v/>
      </c>
    </row>
    <row r="46">
      <c r="D46" s="19">
        <f>IF(7&gt;$B$27,"",7)</f>
        <v/>
      </c>
      <c r="E46" s="20">
        <f>IF(7&gt;$B$27,"",$B$14*$B$15*(1+$B$16)^(7-1))</f>
        <v/>
      </c>
      <c r="F46" s="20">
        <f>IF(7&gt;$B$27,"",($B$18+$B$19+$B$20+$B$21)*(1+$B$24)^(7-1)+E46*($B$22+$B$23))</f>
        <v/>
      </c>
      <c r="H46" s="20">
        <f>IF(7&gt;$B$27,"",E46-F46)</f>
        <v/>
      </c>
      <c r="I46" s="20">
        <f>IF(7&gt;$B$27,"",J46-(M45-M46))</f>
        <v/>
      </c>
      <c r="J46" s="20">
        <f>IF(7&gt;$B$27,"",$B$33*MAX(0,MIN(12,$B$12*12-(7-1)*12)))</f>
        <v/>
      </c>
      <c r="K46" s="20">
        <f>IF(7&gt;$B$27,"",$B$29*MAX(0,H46-I46))</f>
        <v/>
      </c>
      <c r="L46" s="20">
        <f>IF(7&gt;$B$27,"",H46-J46-K46)</f>
        <v/>
      </c>
      <c r="M46" s="20">
        <f>IF(7&gt;$B$27,"",IF($B$10&lt;=0,0,IF(7*12&gt;=$B$12*12,0,IF($B$11=0,$B$10-$B$33*7*12,PV($B$11/12,$B$12*12-7*12,-$B$33)))))</f>
        <v/>
      </c>
      <c r="N46" s="20">
        <f>IF(7&gt;$B$27,"",$B$5*(1+$B$26)^7)</f>
        <v/>
      </c>
      <c r="O46" s="20">
        <f>IF(7&gt;$B$27,"",L46+IF(7=$B$27,N46*(1-$B$28)-M46,0))</f>
        <v/>
      </c>
    </row>
    <row r="47">
      <c r="D47" s="19">
        <f>IF(8&gt;$B$27,"",8)</f>
        <v/>
      </c>
      <c r="E47" s="20">
        <f>IF(8&gt;$B$27,"",$B$14*$B$15*(1+$B$16)^(8-1))</f>
        <v/>
      </c>
      <c r="F47" s="20">
        <f>IF(8&gt;$B$27,"",($B$18+$B$19+$B$20+$B$21)*(1+$B$24)^(8-1)+E47*($B$22+$B$23))</f>
        <v/>
      </c>
      <c r="H47" s="20">
        <f>IF(8&gt;$B$27,"",E47-F47)</f>
        <v/>
      </c>
      <c r="I47" s="20">
        <f>IF(8&gt;$B$27,"",J47-(M46-M47))</f>
        <v/>
      </c>
      <c r="J47" s="20">
        <f>IF(8&gt;$B$27,"",$B$33*MAX(0,MIN(12,$B$12*12-(8-1)*12)))</f>
        <v/>
      </c>
      <c r="K47" s="20">
        <f>IF(8&gt;$B$27,"",$B$29*MAX(0,H47-I47))</f>
        <v/>
      </c>
      <c r="L47" s="20">
        <f>IF(8&gt;$B$27,"",H47-J47-K47)</f>
        <v/>
      </c>
      <c r="M47" s="20">
        <f>IF(8&gt;$B$27,"",IF($B$10&lt;=0,0,IF(8*12&gt;=$B$12*12,0,IF($B$11=0,$B$10-$B$33*8*12,PV($B$11/12,$B$12*12-8*12,-$B$33)))))</f>
        <v/>
      </c>
      <c r="N47" s="20">
        <f>IF(8&gt;$B$27,"",$B$5*(1+$B$26)^8)</f>
        <v/>
      </c>
      <c r="O47" s="20">
        <f>IF(8&gt;$B$27,"",L47+IF(8=$B$27,N47*(1-$B$28)-M47,0))</f>
        <v/>
      </c>
    </row>
    <row r="48">
      <c r="D48" s="19">
        <f>IF(9&gt;$B$27,"",9)</f>
        <v/>
      </c>
      <c r="E48" s="20">
        <f>IF(9&gt;$B$27,"",$B$14*$B$15*(1+$B$16)^(9-1))</f>
        <v/>
      </c>
      <c r="F48" s="20">
        <f>IF(9&gt;$B$27,"",($B$18+$B$19+$B$20+$B$21)*(1+$B$24)^(9-1)+E48*($B$22+$B$23))</f>
        <v/>
      </c>
      <c r="H48" s="20">
        <f>IF(9&gt;$B$27,"",E48-F48)</f>
        <v/>
      </c>
      <c r="I48" s="20">
        <f>IF(9&gt;$B$27,"",J48-(M47-M48))</f>
        <v/>
      </c>
      <c r="J48" s="20">
        <f>IF(9&gt;$B$27,"",$B$33*MAX(0,MIN(12,$B$12*12-(9-1)*12)))</f>
        <v/>
      </c>
      <c r="K48" s="20">
        <f>IF(9&gt;$B$27,"",$B$29*MAX(0,H48-I48))</f>
        <v/>
      </c>
      <c r="L48" s="20">
        <f>IF(9&gt;$B$27,"",H48-J48-K48)</f>
        <v/>
      </c>
      <c r="M48" s="20">
        <f>IF(9&gt;$B$27,"",IF($B$10&lt;=0,0,IF(9*12&gt;=$B$12*12,0,IF($B$11=0,$B$10-$B$33*9*12,PV($B$11/12,$B$12*12-9*12,-$B$33)))))</f>
        <v/>
      </c>
      <c r="N48" s="20">
        <f>IF(9&gt;$B$27,"",$B$5*(1+$B$26)^9)</f>
        <v/>
      </c>
      <c r="O48" s="20">
        <f>IF(9&gt;$B$27,"",L48+IF(9=$B$27,N48*(1-$B$28)-M48,0))</f>
        <v/>
      </c>
    </row>
    <row r="49">
      <c r="D49" s="19">
        <f>IF(10&gt;$B$27,"",10)</f>
        <v/>
      </c>
      <c r="E49" s="20">
        <f>IF(10&gt;$B$27,"",$B$14*$B$15*(1+$B$16)^(10-1))</f>
        <v/>
      </c>
      <c r="F49" s="20">
        <f>IF(10&gt;$B$27,"",($B$18+$B$19+$B$20+$B$21)*(1+$B$24)^(10-1)+E49*($B$22+$B$23))</f>
        <v/>
      </c>
      <c r="H49" s="20">
        <f>IF(10&gt;$B$27,"",E49-F49)</f>
        <v/>
      </c>
      <c r="I49" s="20">
        <f>IF(10&gt;$B$27,"",J49-(M48-M49))</f>
        <v/>
      </c>
      <c r="J49" s="20">
        <f>IF(10&gt;$B$27,"",$B$33*MAX(0,MIN(12,$B$12*12-(10-1)*12)))</f>
        <v/>
      </c>
      <c r="K49" s="20">
        <f>IF(10&gt;$B$27,"",$B$29*MAX(0,H49-I49))</f>
        <v/>
      </c>
      <c r="L49" s="20">
        <f>IF(10&gt;$B$27,"",H49-J49-K49)</f>
        <v/>
      </c>
      <c r="M49" s="20">
        <f>IF(10&gt;$B$27,"",IF($B$10&lt;=0,0,IF(10*12&gt;=$B$12*12,0,IF($B$11=0,$B$10-$B$33*10*12,PV($B$11/12,$B$12*12-10*12,-$B$33)))))</f>
        <v/>
      </c>
      <c r="N49" s="20">
        <f>IF(10&gt;$B$27,"",$B$5*(1+$B$26)^10)</f>
        <v/>
      </c>
      <c r="O49" s="20">
        <f>IF(10&gt;$B$27,"",L49+IF(10=$B$27,N49*(1-$B$28)-M49,0))</f>
        <v/>
      </c>
    </row>
    <row r="50">
      <c r="D50" s="19">
        <f>IF(11&gt;$B$27,"",11)</f>
        <v/>
      </c>
      <c r="E50" s="20">
        <f>IF(11&gt;$B$27,"",$B$14*$B$15*(1+$B$16)^(11-1))</f>
        <v/>
      </c>
      <c r="F50" s="20">
        <f>IF(11&gt;$B$27,"",($B$18+$B$19+$B$20+$B$21)*(1+$B$24)^(11-1)+E50*($B$22+$B$23))</f>
        <v/>
      </c>
      <c r="H50" s="20">
        <f>IF(11&gt;$B$27,"",E50-F50)</f>
        <v/>
      </c>
      <c r="I50" s="20">
        <f>IF(11&gt;$B$27,"",J50-(M49-M50))</f>
        <v/>
      </c>
      <c r="J50" s="20">
        <f>IF(11&gt;$B$27,"",$B$33*MAX(0,MIN(12,$B$12*12-(11-1)*12)))</f>
        <v/>
      </c>
      <c r="K50" s="20">
        <f>IF(11&gt;$B$27,"",$B$29*MAX(0,H50-I50))</f>
        <v/>
      </c>
      <c r="L50" s="20">
        <f>IF(11&gt;$B$27,"",H50-J50-K50)</f>
        <v/>
      </c>
      <c r="M50" s="20">
        <f>IF(11&gt;$B$27,"",IF($B$10&lt;=0,0,IF(11*12&gt;=$B$12*12,0,IF($B$11=0,$B$10-$B$33*11*12,PV($B$11/12,$B$12*12-11*12,-$B$33)))))</f>
        <v/>
      </c>
      <c r="N50" s="20">
        <f>IF(11&gt;$B$27,"",$B$5*(1+$B$26)^11)</f>
        <v/>
      </c>
      <c r="O50" s="20">
        <f>IF(11&gt;$B$27,"",L50+IF(11=$B$27,N50*(1-$B$28)-M50,0))</f>
        <v/>
      </c>
    </row>
    <row r="51">
      <c r="D51" s="19">
        <f>IF(12&gt;$B$27,"",12)</f>
        <v/>
      </c>
      <c r="E51" s="20">
        <f>IF(12&gt;$B$27,"",$B$14*$B$15*(1+$B$16)^(12-1))</f>
        <v/>
      </c>
      <c r="F51" s="20">
        <f>IF(12&gt;$B$27,"",($B$18+$B$19+$B$20+$B$21)*(1+$B$24)^(12-1)+E51*($B$22+$B$23))</f>
        <v/>
      </c>
      <c r="H51" s="20">
        <f>IF(12&gt;$B$27,"",E51-F51)</f>
        <v/>
      </c>
      <c r="I51" s="20">
        <f>IF(12&gt;$B$27,"",J51-(M50-M51))</f>
        <v/>
      </c>
      <c r="J51" s="20">
        <f>IF(12&gt;$B$27,"",$B$33*MAX(0,MIN(12,$B$12*12-(12-1)*12)))</f>
        <v/>
      </c>
      <c r="K51" s="20">
        <f>IF(12&gt;$B$27,"",$B$29*MAX(0,H51-I51))</f>
        <v/>
      </c>
      <c r="L51" s="20">
        <f>IF(12&gt;$B$27,"",H51-J51-K51)</f>
        <v/>
      </c>
      <c r="M51" s="20">
        <f>IF(12&gt;$B$27,"",IF($B$10&lt;=0,0,IF(12*12&gt;=$B$12*12,0,IF($B$11=0,$B$10-$B$33*12*12,PV($B$11/12,$B$12*12-12*12,-$B$33)))))</f>
        <v/>
      </c>
      <c r="N51" s="20">
        <f>IF(12&gt;$B$27,"",$B$5*(1+$B$26)^12)</f>
        <v/>
      </c>
      <c r="O51" s="20">
        <f>IF(12&gt;$B$27,"",L51+IF(12=$B$27,N51*(1-$B$28)-M51,0))</f>
        <v/>
      </c>
    </row>
    <row r="52">
      <c r="D52" s="19">
        <f>IF(13&gt;$B$27,"",13)</f>
        <v/>
      </c>
      <c r="E52" s="20">
        <f>IF(13&gt;$B$27,"",$B$14*$B$15*(1+$B$16)^(13-1))</f>
        <v/>
      </c>
      <c r="F52" s="20">
        <f>IF(13&gt;$B$27,"",($B$18+$B$19+$B$20+$B$21)*(1+$B$24)^(13-1)+E52*($B$22+$B$23))</f>
        <v/>
      </c>
      <c r="H52" s="20">
        <f>IF(13&gt;$B$27,"",E52-F52)</f>
        <v/>
      </c>
      <c r="I52" s="20">
        <f>IF(13&gt;$B$27,"",J52-(M51-M52))</f>
        <v/>
      </c>
      <c r="J52" s="20">
        <f>IF(13&gt;$B$27,"",$B$33*MAX(0,MIN(12,$B$12*12-(13-1)*12)))</f>
        <v/>
      </c>
      <c r="K52" s="20">
        <f>IF(13&gt;$B$27,"",$B$29*MAX(0,H52-I52))</f>
        <v/>
      </c>
      <c r="L52" s="20">
        <f>IF(13&gt;$B$27,"",H52-J52-K52)</f>
        <v/>
      </c>
      <c r="M52" s="20">
        <f>IF(13&gt;$B$27,"",IF($B$10&lt;=0,0,IF(13*12&gt;=$B$12*12,0,IF($B$11=0,$B$10-$B$33*13*12,PV($B$11/12,$B$12*12-13*12,-$B$33)))))</f>
        <v/>
      </c>
      <c r="N52" s="20">
        <f>IF(13&gt;$B$27,"",$B$5*(1+$B$26)^13)</f>
        <v/>
      </c>
      <c r="O52" s="20">
        <f>IF(13&gt;$B$27,"",L52+IF(13=$B$27,N52*(1-$B$28)-M52,0))</f>
        <v/>
      </c>
    </row>
    <row r="53">
      <c r="D53" s="19">
        <f>IF(14&gt;$B$27,"",14)</f>
        <v/>
      </c>
      <c r="E53" s="20">
        <f>IF(14&gt;$B$27,"",$B$14*$B$15*(1+$B$16)^(14-1))</f>
        <v/>
      </c>
      <c r="F53" s="20">
        <f>IF(14&gt;$B$27,"",($B$18+$B$19+$B$20+$B$21)*(1+$B$24)^(14-1)+E53*($B$22+$B$23))</f>
        <v/>
      </c>
      <c r="H53" s="20">
        <f>IF(14&gt;$B$27,"",E53-F53)</f>
        <v/>
      </c>
      <c r="I53" s="20">
        <f>IF(14&gt;$B$27,"",J53-(M52-M53))</f>
        <v/>
      </c>
      <c r="J53" s="20">
        <f>IF(14&gt;$B$27,"",$B$33*MAX(0,MIN(12,$B$12*12-(14-1)*12)))</f>
        <v/>
      </c>
      <c r="K53" s="20">
        <f>IF(14&gt;$B$27,"",$B$29*MAX(0,H53-I53))</f>
        <v/>
      </c>
      <c r="L53" s="20">
        <f>IF(14&gt;$B$27,"",H53-J53-K53)</f>
        <v/>
      </c>
      <c r="M53" s="20">
        <f>IF(14&gt;$B$27,"",IF($B$10&lt;=0,0,IF(14*12&gt;=$B$12*12,0,IF($B$11=0,$B$10-$B$33*14*12,PV($B$11/12,$B$12*12-14*12,-$B$33)))))</f>
        <v/>
      </c>
      <c r="N53" s="20">
        <f>IF(14&gt;$B$27,"",$B$5*(1+$B$26)^14)</f>
        <v/>
      </c>
      <c r="O53" s="20">
        <f>IF(14&gt;$B$27,"",L53+IF(14=$B$27,N53*(1-$B$28)-M53,0))</f>
        <v/>
      </c>
    </row>
    <row r="54">
      <c r="D54" s="19">
        <f>IF(15&gt;$B$27,"",15)</f>
        <v/>
      </c>
      <c r="E54" s="20">
        <f>IF(15&gt;$B$27,"",$B$14*$B$15*(1+$B$16)^(15-1))</f>
        <v/>
      </c>
      <c r="F54" s="20">
        <f>IF(15&gt;$B$27,"",($B$18+$B$19+$B$20+$B$21)*(1+$B$24)^(15-1)+E54*($B$22+$B$23))</f>
        <v/>
      </c>
      <c r="H54" s="20">
        <f>IF(15&gt;$B$27,"",E54-F54)</f>
        <v/>
      </c>
      <c r="I54" s="20">
        <f>IF(15&gt;$B$27,"",J54-(M53-M54))</f>
        <v/>
      </c>
      <c r="J54" s="20">
        <f>IF(15&gt;$B$27,"",$B$33*MAX(0,MIN(12,$B$12*12-(15-1)*12)))</f>
        <v/>
      </c>
      <c r="K54" s="20">
        <f>IF(15&gt;$B$27,"",$B$29*MAX(0,H54-I54))</f>
        <v/>
      </c>
      <c r="L54" s="20">
        <f>IF(15&gt;$B$27,"",H54-J54-K54)</f>
        <v/>
      </c>
      <c r="M54" s="20">
        <f>IF(15&gt;$B$27,"",IF($B$10&lt;=0,0,IF(15*12&gt;=$B$12*12,0,IF($B$11=0,$B$10-$B$33*15*12,PV($B$11/12,$B$12*12-15*12,-$B$33)))))</f>
        <v/>
      </c>
      <c r="N54" s="20">
        <f>IF(15&gt;$B$27,"",$B$5*(1+$B$26)^15)</f>
        <v/>
      </c>
      <c r="O54" s="20">
        <f>IF(15&gt;$B$27,"",L54+IF(15=$B$27,N54*(1-$B$28)-M54,0))</f>
        <v/>
      </c>
    </row>
    <row r="55">
      <c r="D55" s="19">
        <f>IF(16&gt;$B$27,"",16)</f>
        <v/>
      </c>
      <c r="E55" s="20">
        <f>IF(16&gt;$B$27,"",$B$14*$B$15*(1+$B$16)^(16-1))</f>
        <v/>
      </c>
      <c r="F55" s="20">
        <f>IF(16&gt;$B$27,"",($B$18+$B$19+$B$20+$B$21)*(1+$B$24)^(16-1)+E55*($B$22+$B$23))</f>
        <v/>
      </c>
      <c r="H55" s="20">
        <f>IF(16&gt;$B$27,"",E55-F55)</f>
        <v/>
      </c>
      <c r="I55" s="20">
        <f>IF(16&gt;$B$27,"",J55-(M54-M55))</f>
        <v/>
      </c>
      <c r="J55" s="20">
        <f>IF(16&gt;$B$27,"",$B$33*MAX(0,MIN(12,$B$12*12-(16-1)*12)))</f>
        <v/>
      </c>
      <c r="K55" s="20">
        <f>IF(16&gt;$B$27,"",$B$29*MAX(0,H55-I55))</f>
        <v/>
      </c>
      <c r="L55" s="20">
        <f>IF(16&gt;$B$27,"",H55-J55-K55)</f>
        <v/>
      </c>
      <c r="M55" s="20">
        <f>IF(16&gt;$B$27,"",IF($B$10&lt;=0,0,IF(16*12&gt;=$B$12*12,0,IF($B$11=0,$B$10-$B$33*16*12,PV($B$11/12,$B$12*12-16*12,-$B$33)))))</f>
        <v/>
      </c>
      <c r="N55" s="20">
        <f>IF(16&gt;$B$27,"",$B$5*(1+$B$26)^16)</f>
        <v/>
      </c>
      <c r="O55" s="20">
        <f>IF(16&gt;$B$27,"",L55+IF(16=$B$27,N55*(1-$B$28)-M55,0))</f>
        <v/>
      </c>
    </row>
    <row r="56">
      <c r="D56" s="19">
        <f>IF(17&gt;$B$27,"",17)</f>
        <v/>
      </c>
      <c r="E56" s="20">
        <f>IF(17&gt;$B$27,"",$B$14*$B$15*(1+$B$16)^(17-1))</f>
        <v/>
      </c>
      <c r="F56" s="20">
        <f>IF(17&gt;$B$27,"",($B$18+$B$19+$B$20+$B$21)*(1+$B$24)^(17-1)+E56*($B$22+$B$23))</f>
        <v/>
      </c>
      <c r="H56" s="20">
        <f>IF(17&gt;$B$27,"",E56-F56)</f>
        <v/>
      </c>
      <c r="I56" s="20">
        <f>IF(17&gt;$B$27,"",J56-(M55-M56))</f>
        <v/>
      </c>
      <c r="J56" s="20">
        <f>IF(17&gt;$B$27,"",$B$33*MAX(0,MIN(12,$B$12*12-(17-1)*12)))</f>
        <v/>
      </c>
      <c r="K56" s="20">
        <f>IF(17&gt;$B$27,"",$B$29*MAX(0,H56-I56))</f>
        <v/>
      </c>
      <c r="L56" s="20">
        <f>IF(17&gt;$B$27,"",H56-J56-K56)</f>
        <v/>
      </c>
      <c r="M56" s="20">
        <f>IF(17&gt;$B$27,"",IF($B$10&lt;=0,0,IF(17*12&gt;=$B$12*12,0,IF($B$11=0,$B$10-$B$33*17*12,PV($B$11/12,$B$12*12-17*12,-$B$33)))))</f>
        <v/>
      </c>
      <c r="N56" s="20">
        <f>IF(17&gt;$B$27,"",$B$5*(1+$B$26)^17)</f>
        <v/>
      </c>
      <c r="O56" s="20">
        <f>IF(17&gt;$B$27,"",L56+IF(17=$B$27,N56*(1-$B$28)-M56,0))</f>
        <v/>
      </c>
    </row>
    <row r="57">
      <c r="D57" s="19">
        <f>IF(18&gt;$B$27,"",18)</f>
        <v/>
      </c>
      <c r="E57" s="20">
        <f>IF(18&gt;$B$27,"",$B$14*$B$15*(1+$B$16)^(18-1))</f>
        <v/>
      </c>
      <c r="F57" s="20">
        <f>IF(18&gt;$B$27,"",($B$18+$B$19+$B$20+$B$21)*(1+$B$24)^(18-1)+E57*($B$22+$B$23))</f>
        <v/>
      </c>
      <c r="H57" s="20">
        <f>IF(18&gt;$B$27,"",E57-F57)</f>
        <v/>
      </c>
      <c r="I57" s="20">
        <f>IF(18&gt;$B$27,"",J57-(M56-M57))</f>
        <v/>
      </c>
      <c r="J57" s="20">
        <f>IF(18&gt;$B$27,"",$B$33*MAX(0,MIN(12,$B$12*12-(18-1)*12)))</f>
        <v/>
      </c>
      <c r="K57" s="20">
        <f>IF(18&gt;$B$27,"",$B$29*MAX(0,H57-I57))</f>
        <v/>
      </c>
      <c r="L57" s="20">
        <f>IF(18&gt;$B$27,"",H57-J57-K57)</f>
        <v/>
      </c>
      <c r="M57" s="20">
        <f>IF(18&gt;$B$27,"",IF($B$10&lt;=0,0,IF(18*12&gt;=$B$12*12,0,IF($B$11=0,$B$10-$B$33*18*12,PV($B$11/12,$B$12*12-18*12,-$B$33)))))</f>
        <v/>
      </c>
      <c r="N57" s="20">
        <f>IF(18&gt;$B$27,"",$B$5*(1+$B$26)^18)</f>
        <v/>
      </c>
      <c r="O57" s="20">
        <f>IF(18&gt;$B$27,"",L57+IF(18=$B$27,N57*(1-$B$28)-M57,0))</f>
        <v/>
      </c>
    </row>
    <row r="58">
      <c r="D58" s="19">
        <f>IF(19&gt;$B$27,"",19)</f>
        <v/>
      </c>
      <c r="E58" s="20">
        <f>IF(19&gt;$B$27,"",$B$14*$B$15*(1+$B$16)^(19-1))</f>
        <v/>
      </c>
      <c r="F58" s="20">
        <f>IF(19&gt;$B$27,"",($B$18+$B$19+$B$20+$B$21)*(1+$B$24)^(19-1)+E58*($B$22+$B$23))</f>
        <v/>
      </c>
      <c r="H58" s="20">
        <f>IF(19&gt;$B$27,"",E58-F58)</f>
        <v/>
      </c>
      <c r="I58" s="20">
        <f>IF(19&gt;$B$27,"",J58-(M57-M58))</f>
        <v/>
      </c>
      <c r="J58" s="20">
        <f>IF(19&gt;$B$27,"",$B$33*MAX(0,MIN(12,$B$12*12-(19-1)*12)))</f>
        <v/>
      </c>
      <c r="K58" s="20">
        <f>IF(19&gt;$B$27,"",$B$29*MAX(0,H58-I58))</f>
        <v/>
      </c>
      <c r="L58" s="20">
        <f>IF(19&gt;$B$27,"",H58-J58-K58)</f>
        <v/>
      </c>
      <c r="M58" s="20">
        <f>IF(19&gt;$B$27,"",IF($B$10&lt;=0,0,IF(19*12&gt;=$B$12*12,0,IF($B$11=0,$B$10-$B$33*19*12,PV($B$11/12,$B$12*12-19*12,-$B$33)))))</f>
        <v/>
      </c>
      <c r="N58" s="20">
        <f>IF(19&gt;$B$27,"",$B$5*(1+$B$26)^19)</f>
        <v/>
      </c>
      <c r="O58" s="20">
        <f>IF(19&gt;$B$27,"",L58+IF(19=$B$27,N58*(1-$B$28)-M58,0))</f>
        <v/>
      </c>
    </row>
    <row r="59">
      <c r="D59" s="19">
        <f>IF(20&gt;$B$27,"",20)</f>
        <v/>
      </c>
      <c r="E59" s="20">
        <f>IF(20&gt;$B$27,"",$B$14*$B$15*(1+$B$16)^(20-1))</f>
        <v/>
      </c>
      <c r="F59" s="20">
        <f>IF(20&gt;$B$27,"",($B$18+$B$19+$B$20+$B$21)*(1+$B$24)^(20-1)+E59*($B$22+$B$23))</f>
        <v/>
      </c>
      <c r="H59" s="20">
        <f>IF(20&gt;$B$27,"",E59-F59)</f>
        <v/>
      </c>
      <c r="I59" s="20">
        <f>IF(20&gt;$B$27,"",J59-(M58-M59))</f>
        <v/>
      </c>
      <c r="J59" s="20">
        <f>IF(20&gt;$B$27,"",$B$33*MAX(0,MIN(12,$B$12*12-(20-1)*12)))</f>
        <v/>
      </c>
      <c r="K59" s="20">
        <f>IF(20&gt;$B$27,"",$B$29*MAX(0,H59-I59))</f>
        <v/>
      </c>
      <c r="L59" s="20">
        <f>IF(20&gt;$B$27,"",H59-J59-K59)</f>
        <v/>
      </c>
      <c r="M59" s="20">
        <f>IF(20&gt;$B$27,"",IF($B$10&lt;=0,0,IF(20*12&gt;=$B$12*12,0,IF($B$11=0,$B$10-$B$33*20*12,PV($B$11/12,$B$12*12-20*12,-$B$33)))))</f>
        <v/>
      </c>
      <c r="N59" s="20">
        <f>IF(20&gt;$B$27,"",$B$5*(1+$B$26)^20)</f>
        <v/>
      </c>
      <c r="O59" s="20">
        <f>IF(20&gt;$B$27,"",L59+IF(20=$B$27,N59*(1-$B$28)-M59,0))</f>
        <v/>
      </c>
    </row>
    <row r="60">
      <c r="D60" s="19">
        <f>IF(21&gt;$B$27,"",21)</f>
        <v/>
      </c>
      <c r="E60" s="20">
        <f>IF(21&gt;$B$27,"",$B$14*$B$15*(1+$B$16)^(21-1))</f>
        <v/>
      </c>
      <c r="F60" s="20">
        <f>IF(21&gt;$B$27,"",($B$18+$B$19+$B$20+$B$21)*(1+$B$24)^(21-1)+E60*($B$22+$B$23))</f>
        <v/>
      </c>
      <c r="H60" s="20">
        <f>IF(21&gt;$B$27,"",E60-F60)</f>
        <v/>
      </c>
      <c r="I60" s="20">
        <f>IF(21&gt;$B$27,"",J60-(M59-M60))</f>
        <v/>
      </c>
      <c r="J60" s="20">
        <f>IF(21&gt;$B$27,"",$B$33*MAX(0,MIN(12,$B$12*12-(21-1)*12)))</f>
        <v/>
      </c>
      <c r="K60" s="20">
        <f>IF(21&gt;$B$27,"",$B$29*MAX(0,H60-I60))</f>
        <v/>
      </c>
      <c r="L60" s="20">
        <f>IF(21&gt;$B$27,"",H60-J60-K60)</f>
        <v/>
      </c>
      <c r="M60" s="20">
        <f>IF(21&gt;$B$27,"",IF($B$10&lt;=0,0,IF(21*12&gt;=$B$12*12,0,IF($B$11=0,$B$10-$B$33*21*12,PV($B$11/12,$B$12*12-21*12,-$B$33)))))</f>
        <v/>
      </c>
      <c r="N60" s="20">
        <f>IF(21&gt;$B$27,"",$B$5*(1+$B$26)^21)</f>
        <v/>
      </c>
      <c r="O60" s="20">
        <f>IF(21&gt;$B$27,"",L60+IF(21=$B$27,N60*(1-$B$28)-M60,0))</f>
        <v/>
      </c>
    </row>
    <row r="61">
      <c r="D61" s="19">
        <f>IF(22&gt;$B$27,"",22)</f>
        <v/>
      </c>
      <c r="E61" s="20">
        <f>IF(22&gt;$B$27,"",$B$14*$B$15*(1+$B$16)^(22-1))</f>
        <v/>
      </c>
      <c r="F61" s="20">
        <f>IF(22&gt;$B$27,"",($B$18+$B$19+$B$20+$B$21)*(1+$B$24)^(22-1)+E61*($B$22+$B$23))</f>
        <v/>
      </c>
      <c r="H61" s="20">
        <f>IF(22&gt;$B$27,"",E61-F61)</f>
        <v/>
      </c>
      <c r="I61" s="20">
        <f>IF(22&gt;$B$27,"",J61-(M60-M61))</f>
        <v/>
      </c>
      <c r="J61" s="20">
        <f>IF(22&gt;$B$27,"",$B$33*MAX(0,MIN(12,$B$12*12-(22-1)*12)))</f>
        <v/>
      </c>
      <c r="K61" s="20">
        <f>IF(22&gt;$B$27,"",$B$29*MAX(0,H61-I61))</f>
        <v/>
      </c>
      <c r="L61" s="20">
        <f>IF(22&gt;$B$27,"",H61-J61-K61)</f>
        <v/>
      </c>
      <c r="M61" s="20">
        <f>IF(22&gt;$B$27,"",IF($B$10&lt;=0,0,IF(22*12&gt;=$B$12*12,0,IF($B$11=0,$B$10-$B$33*22*12,PV($B$11/12,$B$12*12-22*12,-$B$33)))))</f>
        <v/>
      </c>
      <c r="N61" s="20">
        <f>IF(22&gt;$B$27,"",$B$5*(1+$B$26)^22)</f>
        <v/>
      </c>
      <c r="O61" s="20">
        <f>IF(22&gt;$B$27,"",L61+IF(22=$B$27,N61*(1-$B$28)-M61,0))</f>
        <v/>
      </c>
    </row>
    <row r="62">
      <c r="D62" s="19">
        <f>IF(23&gt;$B$27,"",23)</f>
        <v/>
      </c>
      <c r="E62" s="20">
        <f>IF(23&gt;$B$27,"",$B$14*$B$15*(1+$B$16)^(23-1))</f>
        <v/>
      </c>
      <c r="F62" s="20">
        <f>IF(23&gt;$B$27,"",($B$18+$B$19+$B$20+$B$21)*(1+$B$24)^(23-1)+E62*($B$22+$B$23))</f>
        <v/>
      </c>
      <c r="H62" s="20">
        <f>IF(23&gt;$B$27,"",E62-F62)</f>
        <v/>
      </c>
      <c r="I62" s="20">
        <f>IF(23&gt;$B$27,"",J62-(M61-M62))</f>
        <v/>
      </c>
      <c r="J62" s="20">
        <f>IF(23&gt;$B$27,"",$B$33*MAX(0,MIN(12,$B$12*12-(23-1)*12)))</f>
        <v/>
      </c>
      <c r="K62" s="20">
        <f>IF(23&gt;$B$27,"",$B$29*MAX(0,H62-I62))</f>
        <v/>
      </c>
      <c r="L62" s="20">
        <f>IF(23&gt;$B$27,"",H62-J62-K62)</f>
        <v/>
      </c>
      <c r="M62" s="20">
        <f>IF(23&gt;$B$27,"",IF($B$10&lt;=0,0,IF(23*12&gt;=$B$12*12,0,IF($B$11=0,$B$10-$B$33*23*12,PV($B$11/12,$B$12*12-23*12,-$B$33)))))</f>
        <v/>
      </c>
      <c r="N62" s="20">
        <f>IF(23&gt;$B$27,"",$B$5*(1+$B$26)^23)</f>
        <v/>
      </c>
      <c r="O62" s="20">
        <f>IF(23&gt;$B$27,"",L62+IF(23=$B$27,N62*(1-$B$28)-M62,0))</f>
        <v/>
      </c>
    </row>
    <row r="63">
      <c r="D63" s="19">
        <f>IF(24&gt;$B$27,"",24)</f>
        <v/>
      </c>
      <c r="E63" s="20">
        <f>IF(24&gt;$B$27,"",$B$14*$B$15*(1+$B$16)^(24-1))</f>
        <v/>
      </c>
      <c r="F63" s="20">
        <f>IF(24&gt;$B$27,"",($B$18+$B$19+$B$20+$B$21)*(1+$B$24)^(24-1)+E63*($B$22+$B$23))</f>
        <v/>
      </c>
      <c r="H63" s="20">
        <f>IF(24&gt;$B$27,"",E63-F63)</f>
        <v/>
      </c>
      <c r="I63" s="20">
        <f>IF(24&gt;$B$27,"",J63-(M62-M63))</f>
        <v/>
      </c>
      <c r="J63" s="20">
        <f>IF(24&gt;$B$27,"",$B$33*MAX(0,MIN(12,$B$12*12-(24-1)*12)))</f>
        <v/>
      </c>
      <c r="K63" s="20">
        <f>IF(24&gt;$B$27,"",$B$29*MAX(0,H63-I63))</f>
        <v/>
      </c>
      <c r="L63" s="20">
        <f>IF(24&gt;$B$27,"",H63-J63-K63)</f>
        <v/>
      </c>
      <c r="M63" s="20">
        <f>IF(24&gt;$B$27,"",IF($B$10&lt;=0,0,IF(24*12&gt;=$B$12*12,0,IF($B$11=0,$B$10-$B$33*24*12,PV($B$11/12,$B$12*12-24*12,-$B$33)))))</f>
        <v/>
      </c>
      <c r="N63" s="20">
        <f>IF(24&gt;$B$27,"",$B$5*(1+$B$26)^24)</f>
        <v/>
      </c>
      <c r="O63" s="20">
        <f>IF(24&gt;$B$27,"",L63+IF(24=$B$27,N63*(1-$B$28)-M63,0))</f>
        <v/>
      </c>
    </row>
    <row r="64">
      <c r="D64" s="19">
        <f>IF(25&gt;$B$27,"",25)</f>
        <v/>
      </c>
      <c r="E64" s="20">
        <f>IF(25&gt;$B$27,"",$B$14*$B$15*(1+$B$16)^(25-1))</f>
        <v/>
      </c>
      <c r="F64" s="20">
        <f>IF(25&gt;$B$27,"",($B$18+$B$19+$B$20+$B$21)*(1+$B$24)^(25-1)+E64*($B$22+$B$23))</f>
        <v/>
      </c>
      <c r="H64" s="20">
        <f>IF(25&gt;$B$27,"",E64-F64)</f>
        <v/>
      </c>
      <c r="I64" s="20">
        <f>IF(25&gt;$B$27,"",J64-(M63-M64))</f>
        <v/>
      </c>
      <c r="J64" s="20">
        <f>IF(25&gt;$B$27,"",$B$33*MAX(0,MIN(12,$B$12*12-(25-1)*12)))</f>
        <v/>
      </c>
      <c r="K64" s="20">
        <f>IF(25&gt;$B$27,"",$B$29*MAX(0,H64-I64))</f>
        <v/>
      </c>
      <c r="L64" s="20">
        <f>IF(25&gt;$B$27,"",H64-J64-K64)</f>
        <v/>
      </c>
      <c r="M64" s="20">
        <f>IF(25&gt;$B$27,"",IF($B$10&lt;=0,0,IF(25*12&gt;=$B$12*12,0,IF($B$11=0,$B$10-$B$33*25*12,PV($B$11/12,$B$12*12-25*12,-$B$33)))))</f>
        <v/>
      </c>
      <c r="N64" s="20">
        <f>IF(25&gt;$B$27,"",$B$5*(1+$B$26)^25)</f>
        <v/>
      </c>
      <c r="O64" s="20">
        <f>IF(25&gt;$B$27,"",L64+IF(25=$B$27,N64*(1-$B$28)-M64,0))</f>
        <v/>
      </c>
    </row>
    <row r="65">
      <c r="D65" s="19">
        <f>IF(26&gt;$B$27,"",26)</f>
        <v/>
      </c>
      <c r="E65" s="20">
        <f>IF(26&gt;$B$27,"",$B$14*$B$15*(1+$B$16)^(26-1))</f>
        <v/>
      </c>
      <c r="F65" s="20">
        <f>IF(26&gt;$B$27,"",($B$18+$B$19+$B$20+$B$21)*(1+$B$24)^(26-1)+E65*($B$22+$B$23))</f>
        <v/>
      </c>
      <c r="H65" s="20">
        <f>IF(26&gt;$B$27,"",E65-F65)</f>
        <v/>
      </c>
      <c r="I65" s="20">
        <f>IF(26&gt;$B$27,"",J65-(M64-M65))</f>
        <v/>
      </c>
      <c r="J65" s="20">
        <f>IF(26&gt;$B$27,"",$B$33*MAX(0,MIN(12,$B$12*12-(26-1)*12)))</f>
        <v/>
      </c>
      <c r="K65" s="20">
        <f>IF(26&gt;$B$27,"",$B$29*MAX(0,H65-I65))</f>
        <v/>
      </c>
      <c r="L65" s="20">
        <f>IF(26&gt;$B$27,"",H65-J65-K65)</f>
        <v/>
      </c>
      <c r="M65" s="20">
        <f>IF(26&gt;$B$27,"",IF($B$10&lt;=0,0,IF(26*12&gt;=$B$12*12,0,IF($B$11=0,$B$10-$B$33*26*12,PV($B$11/12,$B$12*12-26*12,-$B$33)))))</f>
        <v/>
      </c>
      <c r="N65" s="20">
        <f>IF(26&gt;$B$27,"",$B$5*(1+$B$26)^26)</f>
        <v/>
      </c>
      <c r="O65" s="20">
        <f>IF(26&gt;$B$27,"",L65+IF(26=$B$27,N65*(1-$B$28)-M65,0))</f>
        <v/>
      </c>
    </row>
    <row r="66">
      <c r="D66" s="19">
        <f>IF(27&gt;$B$27,"",27)</f>
        <v/>
      </c>
      <c r="E66" s="20">
        <f>IF(27&gt;$B$27,"",$B$14*$B$15*(1+$B$16)^(27-1))</f>
        <v/>
      </c>
      <c r="F66" s="20">
        <f>IF(27&gt;$B$27,"",($B$18+$B$19+$B$20+$B$21)*(1+$B$24)^(27-1)+E66*($B$22+$B$23))</f>
        <v/>
      </c>
      <c r="H66" s="20">
        <f>IF(27&gt;$B$27,"",E66-F66)</f>
        <v/>
      </c>
      <c r="I66" s="20">
        <f>IF(27&gt;$B$27,"",J66-(M65-M66))</f>
        <v/>
      </c>
      <c r="J66" s="20">
        <f>IF(27&gt;$B$27,"",$B$33*MAX(0,MIN(12,$B$12*12-(27-1)*12)))</f>
        <v/>
      </c>
      <c r="K66" s="20">
        <f>IF(27&gt;$B$27,"",$B$29*MAX(0,H66-I66))</f>
        <v/>
      </c>
      <c r="L66" s="20">
        <f>IF(27&gt;$B$27,"",H66-J66-K66)</f>
        <v/>
      </c>
      <c r="M66" s="20">
        <f>IF(27&gt;$B$27,"",IF($B$10&lt;=0,0,IF(27*12&gt;=$B$12*12,0,IF($B$11=0,$B$10-$B$33*27*12,PV($B$11/12,$B$12*12-27*12,-$B$33)))))</f>
        <v/>
      </c>
      <c r="N66" s="20">
        <f>IF(27&gt;$B$27,"",$B$5*(1+$B$26)^27)</f>
        <v/>
      </c>
      <c r="O66" s="20">
        <f>IF(27&gt;$B$27,"",L66+IF(27=$B$27,N66*(1-$B$28)-M66,0))</f>
        <v/>
      </c>
    </row>
    <row r="67">
      <c r="D67" s="19">
        <f>IF(28&gt;$B$27,"",28)</f>
        <v/>
      </c>
      <c r="E67" s="20">
        <f>IF(28&gt;$B$27,"",$B$14*$B$15*(1+$B$16)^(28-1))</f>
        <v/>
      </c>
      <c r="F67" s="20">
        <f>IF(28&gt;$B$27,"",($B$18+$B$19+$B$20+$B$21)*(1+$B$24)^(28-1)+E67*($B$22+$B$23))</f>
        <v/>
      </c>
      <c r="H67" s="20">
        <f>IF(28&gt;$B$27,"",E67-F67)</f>
        <v/>
      </c>
      <c r="I67" s="20">
        <f>IF(28&gt;$B$27,"",J67-(M66-M67))</f>
        <v/>
      </c>
      <c r="J67" s="20">
        <f>IF(28&gt;$B$27,"",$B$33*MAX(0,MIN(12,$B$12*12-(28-1)*12)))</f>
        <v/>
      </c>
      <c r="K67" s="20">
        <f>IF(28&gt;$B$27,"",$B$29*MAX(0,H67-I67))</f>
        <v/>
      </c>
      <c r="L67" s="20">
        <f>IF(28&gt;$B$27,"",H67-J67-K67)</f>
        <v/>
      </c>
      <c r="M67" s="20">
        <f>IF(28&gt;$B$27,"",IF($B$10&lt;=0,0,IF(28*12&gt;=$B$12*12,0,IF($B$11=0,$B$10-$B$33*28*12,PV($B$11/12,$B$12*12-28*12,-$B$33)))))</f>
        <v/>
      </c>
      <c r="N67" s="20">
        <f>IF(28&gt;$B$27,"",$B$5*(1+$B$26)^28)</f>
        <v/>
      </c>
      <c r="O67" s="20">
        <f>IF(28&gt;$B$27,"",L67+IF(28=$B$27,N67*(1-$B$28)-M67,0))</f>
        <v/>
      </c>
    </row>
    <row r="68">
      <c r="D68" s="19">
        <f>IF(29&gt;$B$27,"",29)</f>
        <v/>
      </c>
      <c r="E68" s="20">
        <f>IF(29&gt;$B$27,"",$B$14*$B$15*(1+$B$16)^(29-1))</f>
        <v/>
      </c>
      <c r="F68" s="20">
        <f>IF(29&gt;$B$27,"",($B$18+$B$19+$B$20+$B$21)*(1+$B$24)^(29-1)+E68*($B$22+$B$23))</f>
        <v/>
      </c>
      <c r="H68" s="20">
        <f>IF(29&gt;$B$27,"",E68-F68)</f>
        <v/>
      </c>
      <c r="I68" s="20">
        <f>IF(29&gt;$B$27,"",J68-(M67-M68))</f>
        <v/>
      </c>
      <c r="J68" s="20">
        <f>IF(29&gt;$B$27,"",$B$33*MAX(0,MIN(12,$B$12*12-(29-1)*12)))</f>
        <v/>
      </c>
      <c r="K68" s="20">
        <f>IF(29&gt;$B$27,"",$B$29*MAX(0,H68-I68))</f>
        <v/>
      </c>
      <c r="L68" s="20">
        <f>IF(29&gt;$B$27,"",H68-J68-K68)</f>
        <v/>
      </c>
      <c r="M68" s="20">
        <f>IF(29&gt;$B$27,"",IF($B$10&lt;=0,0,IF(29*12&gt;=$B$12*12,0,IF($B$11=0,$B$10-$B$33*29*12,PV($B$11/12,$B$12*12-29*12,-$B$33)))))</f>
        <v/>
      </c>
      <c r="N68" s="20">
        <f>IF(29&gt;$B$27,"",$B$5*(1+$B$26)^29)</f>
        <v/>
      </c>
      <c r="O68" s="20">
        <f>IF(29&gt;$B$27,"",L68+IF(29=$B$27,N68*(1-$B$28)-M68,0))</f>
        <v/>
      </c>
    </row>
    <row r="69">
      <c r="D69" s="19">
        <f>IF(30&gt;$B$27,"",30)</f>
        <v/>
      </c>
      <c r="E69" s="20">
        <f>IF(30&gt;$B$27,"",$B$14*$B$15*(1+$B$16)^(30-1))</f>
        <v/>
      </c>
      <c r="F69" s="20">
        <f>IF(30&gt;$B$27,"",($B$18+$B$19+$B$20+$B$21)*(1+$B$24)^(30-1)+E69*($B$22+$B$23))</f>
        <v/>
      </c>
      <c r="H69" s="20">
        <f>IF(30&gt;$B$27,"",E69-F69)</f>
        <v/>
      </c>
      <c r="I69" s="20">
        <f>IF(30&gt;$B$27,"",J69-(M68-M69))</f>
        <v/>
      </c>
      <c r="J69" s="20">
        <f>IF(30&gt;$B$27,"",$B$33*MAX(0,MIN(12,$B$12*12-(30-1)*12)))</f>
        <v/>
      </c>
      <c r="K69" s="20">
        <f>IF(30&gt;$B$27,"",$B$29*MAX(0,H69-I69))</f>
        <v/>
      </c>
      <c r="L69" s="20">
        <f>IF(30&gt;$B$27,"",H69-J69-K69)</f>
        <v/>
      </c>
      <c r="M69" s="20">
        <f>IF(30&gt;$B$27,"",IF($B$10&lt;=0,0,IF(30*12&gt;=$B$12*12,0,IF($B$11=0,$B$10-$B$33*30*12,PV($B$11/12,$B$12*12-30*12,-$B$33)))))</f>
        <v/>
      </c>
      <c r="N69" s="20">
        <f>IF(30&gt;$B$27,"",$B$5*(1+$B$26)^30)</f>
        <v/>
      </c>
      <c r="O69" s="20">
        <f>IF(30&gt;$B$27,"",L69+IF(30=$B$27,N69*(1-$B$28)-M69,0))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