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tgage amortiza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color rgb="0016343A"/>
      <sz val="10"/>
    </font>
    <font>
      <name val="Arial"/>
      <b val="1"/>
      <color rgb="0016343A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4EBDA"/>
      </patternFill>
    </fill>
    <fill>
      <patternFill patternType="solid">
        <fgColor rgb="00E0EFF0"/>
      </patternFill>
    </fill>
    <fill>
      <patternFill patternType="solid">
        <fgColor rgb="00126C78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4" fontId="3" fillId="2" borderId="1" pivotButton="0" quotePrefix="0" xfId="0"/>
    <xf numFmtId="10" fontId="3" fillId="2" borderId="1" pivotButton="0" quotePrefix="0" xfId="0"/>
    <xf numFmtId="3" fontId="3" fillId="2" borderId="1" pivotButton="0" quotePrefix="0" xfId="0"/>
    <xf numFmtId="0" fontId="4" fillId="3" borderId="1" pivotButton="0" quotePrefix="0" xfId="0"/>
    <xf numFmtId="4" fontId="4" fillId="3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4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center" vertical="center" wrapText="1"/>
    </xf>
    <xf numFmtId="4" fontId="3" fillId="0" borderId="1" pivotButton="0" quotePrefix="0" xfId="0"/>
    <xf numFmtId="3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Mortgage amortization schedule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Loan amount</t>
        </is>
      </c>
      <c r="B4" s="4" t="n">
        <v>150000</v>
      </c>
    </row>
    <row r="5">
      <c r="A5" s="3" t="inlineStr">
        <is>
          <t>Annual interest rate</t>
        </is>
      </c>
      <c r="B5" s="5" t="n">
        <v>0.03</v>
      </c>
    </row>
    <row r="6">
      <c r="A6" s="3" t="inlineStr">
        <is>
          <t>Term (years)</t>
        </is>
      </c>
      <c r="B6" s="6" t="n">
        <v>25</v>
      </c>
    </row>
    <row r="7">
      <c r="A7" s="7" t="inlineStr">
        <is>
          <t>Monthly payment</t>
        </is>
      </c>
      <c r="B7" s="8">
        <f>IF(B5=0,B4/(B6*12),PMT(B5/12,B6*12,-B4))</f>
        <v/>
      </c>
    </row>
    <row r="8">
      <c r="A8" s="9" t="inlineStr">
        <is>
          <t>Total interest</t>
        </is>
      </c>
      <c r="B8" s="10">
        <f>SUM(C12:C491)</f>
        <v/>
      </c>
    </row>
    <row r="10">
      <c r="A10" s="11" t="inlineStr">
        <is>
          <t>Month</t>
        </is>
      </c>
      <c r="B10" s="12" t="inlineStr">
        <is>
          <t>Monthly payment</t>
        </is>
      </c>
      <c r="C10" s="12" t="inlineStr">
        <is>
          <t>Interest</t>
        </is>
      </c>
      <c r="D10" s="12" t="inlineStr">
        <is>
          <t>Principal</t>
        </is>
      </c>
      <c r="E10" s="12" t="inlineStr">
        <is>
          <t>Balance outstanding</t>
        </is>
      </c>
    </row>
    <row r="11">
      <c r="E11" s="13">
        <f>B4</f>
        <v/>
      </c>
    </row>
    <row r="12">
      <c r="A12" s="14">
        <f>IF(1&gt;$B$6*12,"",1)</f>
        <v/>
      </c>
      <c r="B12" s="15">
        <f>IF(A12="","",$B$7)</f>
        <v/>
      </c>
      <c r="C12" s="15">
        <f>IF(A12="","",E11*$B$5/12)</f>
        <v/>
      </c>
      <c r="D12" s="15">
        <f>IF(A12="","",B12-C12)</f>
        <v/>
      </c>
      <c r="E12" s="15">
        <f>IF(A12="","",MAX(0,E11-D12))</f>
        <v/>
      </c>
    </row>
    <row r="13">
      <c r="A13" s="14">
        <f>IF(2&gt;$B$6*12,"",2)</f>
        <v/>
      </c>
      <c r="B13" s="15">
        <f>IF(A13="","",$B$7)</f>
        <v/>
      </c>
      <c r="C13" s="15">
        <f>IF(A13="","",E12*$B$5/12)</f>
        <v/>
      </c>
      <c r="D13" s="15">
        <f>IF(A13="","",B13-C13)</f>
        <v/>
      </c>
      <c r="E13" s="15">
        <f>IF(A13="","",MAX(0,E12-D13))</f>
        <v/>
      </c>
    </row>
    <row r="14">
      <c r="A14" s="14">
        <f>IF(3&gt;$B$6*12,"",3)</f>
        <v/>
      </c>
      <c r="B14" s="15">
        <f>IF(A14="","",$B$7)</f>
        <v/>
      </c>
      <c r="C14" s="15">
        <f>IF(A14="","",E13*$B$5/12)</f>
        <v/>
      </c>
      <c r="D14" s="15">
        <f>IF(A14="","",B14-C14)</f>
        <v/>
      </c>
      <c r="E14" s="15">
        <f>IF(A14="","",MAX(0,E13-D14))</f>
        <v/>
      </c>
    </row>
    <row r="15">
      <c r="A15" s="14">
        <f>IF(4&gt;$B$6*12,"",4)</f>
        <v/>
      </c>
      <c r="B15" s="15">
        <f>IF(A15="","",$B$7)</f>
        <v/>
      </c>
      <c r="C15" s="15">
        <f>IF(A15="","",E14*$B$5/12)</f>
        <v/>
      </c>
      <c r="D15" s="15">
        <f>IF(A15="","",B15-C15)</f>
        <v/>
      </c>
      <c r="E15" s="15">
        <f>IF(A15="","",MAX(0,E14-D15))</f>
        <v/>
      </c>
    </row>
    <row r="16">
      <c r="A16" s="14">
        <f>IF(5&gt;$B$6*12,"",5)</f>
        <v/>
      </c>
      <c r="B16" s="15">
        <f>IF(A16="","",$B$7)</f>
        <v/>
      </c>
      <c r="C16" s="15">
        <f>IF(A16="","",E15*$B$5/12)</f>
        <v/>
      </c>
      <c r="D16" s="15">
        <f>IF(A16="","",B16-C16)</f>
        <v/>
      </c>
      <c r="E16" s="15">
        <f>IF(A16="","",MAX(0,E15-D16))</f>
        <v/>
      </c>
    </row>
    <row r="17">
      <c r="A17" s="14">
        <f>IF(6&gt;$B$6*12,"",6)</f>
        <v/>
      </c>
      <c r="B17" s="15">
        <f>IF(A17="","",$B$7)</f>
        <v/>
      </c>
      <c r="C17" s="15">
        <f>IF(A17="","",E16*$B$5/12)</f>
        <v/>
      </c>
      <c r="D17" s="15">
        <f>IF(A17="","",B17-C17)</f>
        <v/>
      </c>
      <c r="E17" s="15">
        <f>IF(A17="","",MAX(0,E16-D17))</f>
        <v/>
      </c>
    </row>
    <row r="18">
      <c r="A18" s="14">
        <f>IF(7&gt;$B$6*12,"",7)</f>
        <v/>
      </c>
      <c r="B18" s="15">
        <f>IF(A18="","",$B$7)</f>
        <v/>
      </c>
      <c r="C18" s="15">
        <f>IF(A18="","",E17*$B$5/12)</f>
        <v/>
      </c>
      <c r="D18" s="15">
        <f>IF(A18="","",B18-C18)</f>
        <v/>
      </c>
      <c r="E18" s="15">
        <f>IF(A18="","",MAX(0,E17-D18))</f>
        <v/>
      </c>
    </row>
    <row r="19">
      <c r="A19" s="14">
        <f>IF(8&gt;$B$6*12,"",8)</f>
        <v/>
      </c>
      <c r="B19" s="15">
        <f>IF(A19="","",$B$7)</f>
        <v/>
      </c>
      <c r="C19" s="15">
        <f>IF(A19="","",E18*$B$5/12)</f>
        <v/>
      </c>
      <c r="D19" s="15">
        <f>IF(A19="","",B19-C19)</f>
        <v/>
      </c>
      <c r="E19" s="15">
        <f>IF(A19="","",MAX(0,E18-D19))</f>
        <v/>
      </c>
    </row>
    <row r="20">
      <c r="A20" s="14">
        <f>IF(9&gt;$B$6*12,"",9)</f>
        <v/>
      </c>
      <c r="B20" s="15">
        <f>IF(A20="","",$B$7)</f>
        <v/>
      </c>
      <c r="C20" s="15">
        <f>IF(A20="","",E19*$B$5/12)</f>
        <v/>
      </c>
      <c r="D20" s="15">
        <f>IF(A20="","",B20-C20)</f>
        <v/>
      </c>
      <c r="E20" s="15">
        <f>IF(A20="","",MAX(0,E19-D20))</f>
        <v/>
      </c>
    </row>
    <row r="21">
      <c r="A21" s="14">
        <f>IF(10&gt;$B$6*12,"",10)</f>
        <v/>
      </c>
      <c r="B21" s="15">
        <f>IF(A21="","",$B$7)</f>
        <v/>
      </c>
      <c r="C21" s="15">
        <f>IF(A21="","",E20*$B$5/12)</f>
        <v/>
      </c>
      <c r="D21" s="15">
        <f>IF(A21="","",B21-C21)</f>
        <v/>
      </c>
      <c r="E21" s="15">
        <f>IF(A21="","",MAX(0,E20-D21))</f>
        <v/>
      </c>
    </row>
    <row r="22">
      <c r="A22" s="14">
        <f>IF(11&gt;$B$6*12,"",11)</f>
        <v/>
      </c>
      <c r="B22" s="15">
        <f>IF(A22="","",$B$7)</f>
        <v/>
      </c>
      <c r="C22" s="15">
        <f>IF(A22="","",E21*$B$5/12)</f>
        <v/>
      </c>
      <c r="D22" s="15">
        <f>IF(A22="","",B22-C22)</f>
        <v/>
      </c>
      <c r="E22" s="15">
        <f>IF(A22="","",MAX(0,E21-D22))</f>
        <v/>
      </c>
    </row>
    <row r="23">
      <c r="A23" s="14">
        <f>IF(12&gt;$B$6*12,"",12)</f>
        <v/>
      </c>
      <c r="B23" s="15">
        <f>IF(A23="","",$B$7)</f>
        <v/>
      </c>
      <c r="C23" s="15">
        <f>IF(A23="","",E22*$B$5/12)</f>
        <v/>
      </c>
      <c r="D23" s="15">
        <f>IF(A23="","",B23-C23)</f>
        <v/>
      </c>
      <c r="E23" s="15">
        <f>IF(A23="","",MAX(0,E22-D23))</f>
        <v/>
      </c>
    </row>
    <row r="24">
      <c r="A24" s="14">
        <f>IF(13&gt;$B$6*12,"",13)</f>
        <v/>
      </c>
      <c r="B24" s="15">
        <f>IF(A24="","",$B$7)</f>
        <v/>
      </c>
      <c r="C24" s="15">
        <f>IF(A24="","",E23*$B$5/12)</f>
        <v/>
      </c>
      <c r="D24" s="15">
        <f>IF(A24="","",B24-C24)</f>
        <v/>
      </c>
      <c r="E24" s="15">
        <f>IF(A24="","",MAX(0,E23-D24))</f>
        <v/>
      </c>
    </row>
    <row r="25">
      <c r="A25" s="14">
        <f>IF(14&gt;$B$6*12,"",14)</f>
        <v/>
      </c>
      <c r="B25" s="15">
        <f>IF(A25="","",$B$7)</f>
        <v/>
      </c>
      <c r="C25" s="15">
        <f>IF(A25="","",E24*$B$5/12)</f>
        <v/>
      </c>
      <c r="D25" s="15">
        <f>IF(A25="","",B25-C25)</f>
        <v/>
      </c>
      <c r="E25" s="15">
        <f>IF(A25="","",MAX(0,E24-D25))</f>
        <v/>
      </c>
    </row>
    <row r="26">
      <c r="A26" s="14">
        <f>IF(15&gt;$B$6*12,"",15)</f>
        <v/>
      </c>
      <c r="B26" s="15">
        <f>IF(A26="","",$B$7)</f>
        <v/>
      </c>
      <c r="C26" s="15">
        <f>IF(A26="","",E25*$B$5/12)</f>
        <v/>
      </c>
      <c r="D26" s="15">
        <f>IF(A26="","",B26-C26)</f>
        <v/>
      </c>
      <c r="E26" s="15">
        <f>IF(A26="","",MAX(0,E25-D26))</f>
        <v/>
      </c>
    </row>
    <row r="27">
      <c r="A27" s="14">
        <f>IF(16&gt;$B$6*12,"",16)</f>
        <v/>
      </c>
      <c r="B27" s="15">
        <f>IF(A27="","",$B$7)</f>
        <v/>
      </c>
      <c r="C27" s="15">
        <f>IF(A27="","",E26*$B$5/12)</f>
        <v/>
      </c>
      <c r="D27" s="15">
        <f>IF(A27="","",B27-C27)</f>
        <v/>
      </c>
      <c r="E27" s="15">
        <f>IF(A27="","",MAX(0,E26-D27))</f>
        <v/>
      </c>
    </row>
    <row r="28">
      <c r="A28" s="14">
        <f>IF(17&gt;$B$6*12,"",17)</f>
        <v/>
      </c>
      <c r="B28" s="15">
        <f>IF(A28="","",$B$7)</f>
        <v/>
      </c>
      <c r="C28" s="15">
        <f>IF(A28="","",E27*$B$5/12)</f>
        <v/>
      </c>
      <c r="D28" s="15">
        <f>IF(A28="","",B28-C28)</f>
        <v/>
      </c>
      <c r="E28" s="15">
        <f>IF(A28="","",MAX(0,E27-D28))</f>
        <v/>
      </c>
    </row>
    <row r="29">
      <c r="A29" s="14">
        <f>IF(18&gt;$B$6*12,"",18)</f>
        <v/>
      </c>
      <c r="B29" s="15">
        <f>IF(A29="","",$B$7)</f>
        <v/>
      </c>
      <c r="C29" s="15">
        <f>IF(A29="","",E28*$B$5/12)</f>
        <v/>
      </c>
      <c r="D29" s="15">
        <f>IF(A29="","",B29-C29)</f>
        <v/>
      </c>
      <c r="E29" s="15">
        <f>IF(A29="","",MAX(0,E28-D29))</f>
        <v/>
      </c>
    </row>
    <row r="30">
      <c r="A30" s="14">
        <f>IF(19&gt;$B$6*12,"",19)</f>
        <v/>
      </c>
      <c r="B30" s="15">
        <f>IF(A30="","",$B$7)</f>
        <v/>
      </c>
      <c r="C30" s="15">
        <f>IF(A30="","",E29*$B$5/12)</f>
        <v/>
      </c>
      <c r="D30" s="15">
        <f>IF(A30="","",B30-C30)</f>
        <v/>
      </c>
      <c r="E30" s="15">
        <f>IF(A30="","",MAX(0,E29-D30))</f>
        <v/>
      </c>
    </row>
    <row r="31">
      <c r="A31" s="14">
        <f>IF(20&gt;$B$6*12,"",20)</f>
        <v/>
      </c>
      <c r="B31" s="15">
        <f>IF(A31="","",$B$7)</f>
        <v/>
      </c>
      <c r="C31" s="15">
        <f>IF(A31="","",E30*$B$5/12)</f>
        <v/>
      </c>
      <c r="D31" s="15">
        <f>IF(A31="","",B31-C31)</f>
        <v/>
      </c>
      <c r="E31" s="15">
        <f>IF(A31="","",MAX(0,E30-D31))</f>
        <v/>
      </c>
    </row>
    <row r="32">
      <c r="A32" s="14">
        <f>IF(21&gt;$B$6*12,"",21)</f>
        <v/>
      </c>
      <c r="B32" s="15">
        <f>IF(A32="","",$B$7)</f>
        <v/>
      </c>
      <c r="C32" s="15">
        <f>IF(A32="","",E31*$B$5/12)</f>
        <v/>
      </c>
      <c r="D32" s="15">
        <f>IF(A32="","",B32-C32)</f>
        <v/>
      </c>
      <c r="E32" s="15">
        <f>IF(A32="","",MAX(0,E31-D32))</f>
        <v/>
      </c>
    </row>
    <row r="33">
      <c r="A33" s="14">
        <f>IF(22&gt;$B$6*12,"",22)</f>
        <v/>
      </c>
      <c r="B33" s="15">
        <f>IF(A33="","",$B$7)</f>
        <v/>
      </c>
      <c r="C33" s="15">
        <f>IF(A33="","",E32*$B$5/12)</f>
        <v/>
      </c>
      <c r="D33" s="15">
        <f>IF(A33="","",B33-C33)</f>
        <v/>
      </c>
      <c r="E33" s="15">
        <f>IF(A33="","",MAX(0,E32-D33))</f>
        <v/>
      </c>
    </row>
    <row r="34">
      <c r="A34" s="14">
        <f>IF(23&gt;$B$6*12,"",23)</f>
        <v/>
      </c>
      <c r="B34" s="15">
        <f>IF(A34="","",$B$7)</f>
        <v/>
      </c>
      <c r="C34" s="15">
        <f>IF(A34="","",E33*$B$5/12)</f>
        <v/>
      </c>
      <c r="D34" s="15">
        <f>IF(A34="","",B34-C34)</f>
        <v/>
      </c>
      <c r="E34" s="15">
        <f>IF(A34="","",MAX(0,E33-D34))</f>
        <v/>
      </c>
    </row>
    <row r="35">
      <c r="A35" s="14">
        <f>IF(24&gt;$B$6*12,"",24)</f>
        <v/>
      </c>
      <c r="B35" s="15">
        <f>IF(A35="","",$B$7)</f>
        <v/>
      </c>
      <c r="C35" s="15">
        <f>IF(A35="","",E34*$B$5/12)</f>
        <v/>
      </c>
      <c r="D35" s="15">
        <f>IF(A35="","",B35-C35)</f>
        <v/>
      </c>
      <c r="E35" s="15">
        <f>IF(A35="","",MAX(0,E34-D35))</f>
        <v/>
      </c>
    </row>
    <row r="36">
      <c r="A36" s="14">
        <f>IF(25&gt;$B$6*12,"",25)</f>
        <v/>
      </c>
      <c r="B36" s="15">
        <f>IF(A36="","",$B$7)</f>
        <v/>
      </c>
      <c r="C36" s="15">
        <f>IF(A36="","",E35*$B$5/12)</f>
        <v/>
      </c>
      <c r="D36" s="15">
        <f>IF(A36="","",B36-C36)</f>
        <v/>
      </c>
      <c r="E36" s="15">
        <f>IF(A36="","",MAX(0,E35-D36))</f>
        <v/>
      </c>
    </row>
    <row r="37">
      <c r="A37" s="14">
        <f>IF(26&gt;$B$6*12,"",26)</f>
        <v/>
      </c>
      <c r="B37" s="15">
        <f>IF(A37="","",$B$7)</f>
        <v/>
      </c>
      <c r="C37" s="15">
        <f>IF(A37="","",E36*$B$5/12)</f>
        <v/>
      </c>
      <c r="D37" s="15">
        <f>IF(A37="","",B37-C37)</f>
        <v/>
      </c>
      <c r="E37" s="15">
        <f>IF(A37="","",MAX(0,E36-D37))</f>
        <v/>
      </c>
    </row>
    <row r="38">
      <c r="A38" s="14">
        <f>IF(27&gt;$B$6*12,"",27)</f>
        <v/>
      </c>
      <c r="B38" s="15">
        <f>IF(A38="","",$B$7)</f>
        <v/>
      </c>
      <c r="C38" s="15">
        <f>IF(A38="","",E37*$B$5/12)</f>
        <v/>
      </c>
      <c r="D38" s="15">
        <f>IF(A38="","",B38-C38)</f>
        <v/>
      </c>
      <c r="E38" s="15">
        <f>IF(A38="","",MAX(0,E37-D38))</f>
        <v/>
      </c>
    </row>
    <row r="39">
      <c r="A39" s="14">
        <f>IF(28&gt;$B$6*12,"",28)</f>
        <v/>
      </c>
      <c r="B39" s="15">
        <f>IF(A39="","",$B$7)</f>
        <v/>
      </c>
      <c r="C39" s="15">
        <f>IF(A39="","",E38*$B$5/12)</f>
        <v/>
      </c>
      <c r="D39" s="15">
        <f>IF(A39="","",B39-C39)</f>
        <v/>
      </c>
      <c r="E39" s="15">
        <f>IF(A39="","",MAX(0,E38-D39))</f>
        <v/>
      </c>
    </row>
    <row r="40">
      <c r="A40" s="14">
        <f>IF(29&gt;$B$6*12,"",29)</f>
        <v/>
      </c>
      <c r="B40" s="15">
        <f>IF(A40="","",$B$7)</f>
        <v/>
      </c>
      <c r="C40" s="15">
        <f>IF(A40="","",E39*$B$5/12)</f>
        <v/>
      </c>
      <c r="D40" s="15">
        <f>IF(A40="","",B40-C40)</f>
        <v/>
      </c>
      <c r="E40" s="15">
        <f>IF(A40="","",MAX(0,E39-D40))</f>
        <v/>
      </c>
    </row>
    <row r="41">
      <c r="A41" s="14">
        <f>IF(30&gt;$B$6*12,"",30)</f>
        <v/>
      </c>
      <c r="B41" s="15">
        <f>IF(A41="","",$B$7)</f>
        <v/>
      </c>
      <c r="C41" s="15">
        <f>IF(A41="","",E40*$B$5/12)</f>
        <v/>
      </c>
      <c r="D41" s="15">
        <f>IF(A41="","",B41-C41)</f>
        <v/>
      </c>
      <c r="E41" s="15">
        <f>IF(A41="","",MAX(0,E40-D41))</f>
        <v/>
      </c>
    </row>
    <row r="42">
      <c r="A42" s="14">
        <f>IF(31&gt;$B$6*12,"",31)</f>
        <v/>
      </c>
      <c r="B42" s="15">
        <f>IF(A42="","",$B$7)</f>
        <v/>
      </c>
      <c r="C42" s="15">
        <f>IF(A42="","",E41*$B$5/12)</f>
        <v/>
      </c>
      <c r="D42" s="15">
        <f>IF(A42="","",B42-C42)</f>
        <v/>
      </c>
      <c r="E42" s="15">
        <f>IF(A42="","",MAX(0,E41-D42))</f>
        <v/>
      </c>
    </row>
    <row r="43">
      <c r="A43" s="14">
        <f>IF(32&gt;$B$6*12,"",32)</f>
        <v/>
      </c>
      <c r="B43" s="15">
        <f>IF(A43="","",$B$7)</f>
        <v/>
      </c>
      <c r="C43" s="15">
        <f>IF(A43="","",E42*$B$5/12)</f>
        <v/>
      </c>
      <c r="D43" s="15">
        <f>IF(A43="","",B43-C43)</f>
        <v/>
      </c>
      <c r="E43" s="15">
        <f>IF(A43="","",MAX(0,E42-D43))</f>
        <v/>
      </c>
    </row>
    <row r="44">
      <c r="A44" s="14">
        <f>IF(33&gt;$B$6*12,"",33)</f>
        <v/>
      </c>
      <c r="B44" s="15">
        <f>IF(A44="","",$B$7)</f>
        <v/>
      </c>
      <c r="C44" s="15">
        <f>IF(A44="","",E43*$B$5/12)</f>
        <v/>
      </c>
      <c r="D44" s="15">
        <f>IF(A44="","",B44-C44)</f>
        <v/>
      </c>
      <c r="E44" s="15">
        <f>IF(A44="","",MAX(0,E43-D44))</f>
        <v/>
      </c>
    </row>
    <row r="45">
      <c r="A45" s="14">
        <f>IF(34&gt;$B$6*12,"",34)</f>
        <v/>
      </c>
      <c r="B45" s="15">
        <f>IF(A45="","",$B$7)</f>
        <v/>
      </c>
      <c r="C45" s="15">
        <f>IF(A45="","",E44*$B$5/12)</f>
        <v/>
      </c>
      <c r="D45" s="15">
        <f>IF(A45="","",B45-C45)</f>
        <v/>
      </c>
      <c r="E45" s="15">
        <f>IF(A45="","",MAX(0,E44-D45))</f>
        <v/>
      </c>
    </row>
    <row r="46">
      <c r="A46" s="14">
        <f>IF(35&gt;$B$6*12,"",35)</f>
        <v/>
      </c>
      <c r="B46" s="15">
        <f>IF(A46="","",$B$7)</f>
        <v/>
      </c>
      <c r="C46" s="15">
        <f>IF(A46="","",E45*$B$5/12)</f>
        <v/>
      </c>
      <c r="D46" s="15">
        <f>IF(A46="","",B46-C46)</f>
        <v/>
      </c>
      <c r="E46" s="15">
        <f>IF(A46="","",MAX(0,E45-D46))</f>
        <v/>
      </c>
    </row>
    <row r="47">
      <c r="A47" s="14">
        <f>IF(36&gt;$B$6*12,"",36)</f>
        <v/>
      </c>
      <c r="B47" s="15">
        <f>IF(A47="","",$B$7)</f>
        <v/>
      </c>
      <c r="C47" s="15">
        <f>IF(A47="","",E46*$B$5/12)</f>
        <v/>
      </c>
      <c r="D47" s="15">
        <f>IF(A47="","",B47-C47)</f>
        <v/>
      </c>
      <c r="E47" s="15">
        <f>IF(A47="","",MAX(0,E46-D47))</f>
        <v/>
      </c>
    </row>
    <row r="48">
      <c r="A48" s="14">
        <f>IF(37&gt;$B$6*12,"",37)</f>
        <v/>
      </c>
      <c r="B48" s="15">
        <f>IF(A48="","",$B$7)</f>
        <v/>
      </c>
      <c r="C48" s="15">
        <f>IF(A48="","",E47*$B$5/12)</f>
        <v/>
      </c>
      <c r="D48" s="15">
        <f>IF(A48="","",B48-C48)</f>
        <v/>
      </c>
      <c r="E48" s="15">
        <f>IF(A48="","",MAX(0,E47-D48))</f>
        <v/>
      </c>
    </row>
    <row r="49">
      <c r="A49" s="14">
        <f>IF(38&gt;$B$6*12,"",38)</f>
        <v/>
      </c>
      <c r="B49" s="15">
        <f>IF(A49="","",$B$7)</f>
        <v/>
      </c>
      <c r="C49" s="15">
        <f>IF(A49="","",E48*$B$5/12)</f>
        <v/>
      </c>
      <c r="D49" s="15">
        <f>IF(A49="","",B49-C49)</f>
        <v/>
      </c>
      <c r="E49" s="15">
        <f>IF(A49="","",MAX(0,E48-D49))</f>
        <v/>
      </c>
    </row>
    <row r="50">
      <c r="A50" s="14">
        <f>IF(39&gt;$B$6*12,"",39)</f>
        <v/>
      </c>
      <c r="B50" s="15">
        <f>IF(A50="","",$B$7)</f>
        <v/>
      </c>
      <c r="C50" s="15">
        <f>IF(A50="","",E49*$B$5/12)</f>
        <v/>
      </c>
      <c r="D50" s="15">
        <f>IF(A50="","",B50-C50)</f>
        <v/>
      </c>
      <c r="E50" s="15">
        <f>IF(A50="","",MAX(0,E49-D50))</f>
        <v/>
      </c>
    </row>
    <row r="51">
      <c r="A51" s="14">
        <f>IF(40&gt;$B$6*12,"",40)</f>
        <v/>
      </c>
      <c r="B51" s="15">
        <f>IF(A51="","",$B$7)</f>
        <v/>
      </c>
      <c r="C51" s="15">
        <f>IF(A51="","",E50*$B$5/12)</f>
        <v/>
      </c>
      <c r="D51" s="15">
        <f>IF(A51="","",B51-C51)</f>
        <v/>
      </c>
      <c r="E51" s="15">
        <f>IF(A51="","",MAX(0,E50-D51))</f>
        <v/>
      </c>
    </row>
    <row r="52">
      <c r="A52" s="14">
        <f>IF(41&gt;$B$6*12,"",41)</f>
        <v/>
      </c>
      <c r="B52" s="15">
        <f>IF(A52="","",$B$7)</f>
        <v/>
      </c>
      <c r="C52" s="15">
        <f>IF(A52="","",E51*$B$5/12)</f>
        <v/>
      </c>
      <c r="D52" s="15">
        <f>IF(A52="","",B52-C52)</f>
        <v/>
      </c>
      <c r="E52" s="15">
        <f>IF(A52="","",MAX(0,E51-D52))</f>
        <v/>
      </c>
    </row>
    <row r="53">
      <c r="A53" s="14">
        <f>IF(42&gt;$B$6*12,"",42)</f>
        <v/>
      </c>
      <c r="B53" s="15">
        <f>IF(A53="","",$B$7)</f>
        <v/>
      </c>
      <c r="C53" s="15">
        <f>IF(A53="","",E52*$B$5/12)</f>
        <v/>
      </c>
      <c r="D53" s="15">
        <f>IF(A53="","",B53-C53)</f>
        <v/>
      </c>
      <c r="E53" s="15">
        <f>IF(A53="","",MAX(0,E52-D53))</f>
        <v/>
      </c>
    </row>
    <row r="54">
      <c r="A54" s="14">
        <f>IF(43&gt;$B$6*12,"",43)</f>
        <v/>
      </c>
      <c r="B54" s="15">
        <f>IF(A54="","",$B$7)</f>
        <v/>
      </c>
      <c r="C54" s="15">
        <f>IF(A54="","",E53*$B$5/12)</f>
        <v/>
      </c>
      <c r="D54" s="15">
        <f>IF(A54="","",B54-C54)</f>
        <v/>
      </c>
      <c r="E54" s="15">
        <f>IF(A54="","",MAX(0,E53-D54))</f>
        <v/>
      </c>
    </row>
    <row r="55">
      <c r="A55" s="14">
        <f>IF(44&gt;$B$6*12,"",44)</f>
        <v/>
      </c>
      <c r="B55" s="15">
        <f>IF(A55="","",$B$7)</f>
        <v/>
      </c>
      <c r="C55" s="15">
        <f>IF(A55="","",E54*$B$5/12)</f>
        <v/>
      </c>
      <c r="D55" s="15">
        <f>IF(A55="","",B55-C55)</f>
        <v/>
      </c>
      <c r="E55" s="15">
        <f>IF(A55="","",MAX(0,E54-D55))</f>
        <v/>
      </c>
    </row>
    <row r="56">
      <c r="A56" s="14">
        <f>IF(45&gt;$B$6*12,"",45)</f>
        <v/>
      </c>
      <c r="B56" s="15">
        <f>IF(A56="","",$B$7)</f>
        <v/>
      </c>
      <c r="C56" s="15">
        <f>IF(A56="","",E55*$B$5/12)</f>
        <v/>
      </c>
      <c r="D56" s="15">
        <f>IF(A56="","",B56-C56)</f>
        <v/>
      </c>
      <c r="E56" s="15">
        <f>IF(A56="","",MAX(0,E55-D56))</f>
        <v/>
      </c>
    </row>
    <row r="57">
      <c r="A57" s="14">
        <f>IF(46&gt;$B$6*12,"",46)</f>
        <v/>
      </c>
      <c r="B57" s="15">
        <f>IF(A57="","",$B$7)</f>
        <v/>
      </c>
      <c r="C57" s="15">
        <f>IF(A57="","",E56*$B$5/12)</f>
        <v/>
      </c>
      <c r="D57" s="15">
        <f>IF(A57="","",B57-C57)</f>
        <v/>
      </c>
      <c r="E57" s="15">
        <f>IF(A57="","",MAX(0,E56-D57))</f>
        <v/>
      </c>
    </row>
    <row r="58">
      <c r="A58" s="14">
        <f>IF(47&gt;$B$6*12,"",47)</f>
        <v/>
      </c>
      <c r="B58" s="15">
        <f>IF(A58="","",$B$7)</f>
        <v/>
      </c>
      <c r="C58" s="15">
        <f>IF(A58="","",E57*$B$5/12)</f>
        <v/>
      </c>
      <c r="D58" s="15">
        <f>IF(A58="","",B58-C58)</f>
        <v/>
      </c>
      <c r="E58" s="15">
        <f>IF(A58="","",MAX(0,E57-D58))</f>
        <v/>
      </c>
    </row>
    <row r="59">
      <c r="A59" s="14">
        <f>IF(48&gt;$B$6*12,"",48)</f>
        <v/>
      </c>
      <c r="B59" s="15">
        <f>IF(A59="","",$B$7)</f>
        <v/>
      </c>
      <c r="C59" s="15">
        <f>IF(A59="","",E58*$B$5/12)</f>
        <v/>
      </c>
      <c r="D59" s="15">
        <f>IF(A59="","",B59-C59)</f>
        <v/>
      </c>
      <c r="E59" s="15">
        <f>IF(A59="","",MAX(0,E58-D59))</f>
        <v/>
      </c>
    </row>
    <row r="60">
      <c r="A60" s="14">
        <f>IF(49&gt;$B$6*12,"",49)</f>
        <v/>
      </c>
      <c r="B60" s="15">
        <f>IF(A60="","",$B$7)</f>
        <v/>
      </c>
      <c r="C60" s="15">
        <f>IF(A60="","",E59*$B$5/12)</f>
        <v/>
      </c>
      <c r="D60" s="15">
        <f>IF(A60="","",B60-C60)</f>
        <v/>
      </c>
      <c r="E60" s="15">
        <f>IF(A60="","",MAX(0,E59-D60))</f>
        <v/>
      </c>
    </row>
    <row r="61">
      <c r="A61" s="14">
        <f>IF(50&gt;$B$6*12,"",50)</f>
        <v/>
      </c>
      <c r="B61" s="15">
        <f>IF(A61="","",$B$7)</f>
        <v/>
      </c>
      <c r="C61" s="15">
        <f>IF(A61="","",E60*$B$5/12)</f>
        <v/>
      </c>
      <c r="D61" s="15">
        <f>IF(A61="","",B61-C61)</f>
        <v/>
      </c>
      <c r="E61" s="15">
        <f>IF(A61="","",MAX(0,E60-D61))</f>
        <v/>
      </c>
    </row>
    <row r="62">
      <c r="A62" s="14">
        <f>IF(51&gt;$B$6*12,"",51)</f>
        <v/>
      </c>
      <c r="B62" s="15">
        <f>IF(A62="","",$B$7)</f>
        <v/>
      </c>
      <c r="C62" s="15">
        <f>IF(A62="","",E61*$B$5/12)</f>
        <v/>
      </c>
      <c r="D62" s="15">
        <f>IF(A62="","",B62-C62)</f>
        <v/>
      </c>
      <c r="E62" s="15">
        <f>IF(A62="","",MAX(0,E61-D62))</f>
        <v/>
      </c>
    </row>
    <row r="63">
      <c r="A63" s="14">
        <f>IF(52&gt;$B$6*12,"",52)</f>
        <v/>
      </c>
      <c r="B63" s="15">
        <f>IF(A63="","",$B$7)</f>
        <v/>
      </c>
      <c r="C63" s="15">
        <f>IF(A63="","",E62*$B$5/12)</f>
        <v/>
      </c>
      <c r="D63" s="15">
        <f>IF(A63="","",B63-C63)</f>
        <v/>
      </c>
      <c r="E63" s="15">
        <f>IF(A63="","",MAX(0,E62-D63))</f>
        <v/>
      </c>
    </row>
    <row r="64">
      <c r="A64" s="14">
        <f>IF(53&gt;$B$6*12,"",53)</f>
        <v/>
      </c>
      <c r="B64" s="15">
        <f>IF(A64="","",$B$7)</f>
        <v/>
      </c>
      <c r="C64" s="15">
        <f>IF(A64="","",E63*$B$5/12)</f>
        <v/>
      </c>
      <c r="D64" s="15">
        <f>IF(A64="","",B64-C64)</f>
        <v/>
      </c>
      <c r="E64" s="15">
        <f>IF(A64="","",MAX(0,E63-D64))</f>
        <v/>
      </c>
    </row>
    <row r="65">
      <c r="A65" s="14">
        <f>IF(54&gt;$B$6*12,"",54)</f>
        <v/>
      </c>
      <c r="B65" s="15">
        <f>IF(A65="","",$B$7)</f>
        <v/>
      </c>
      <c r="C65" s="15">
        <f>IF(A65="","",E64*$B$5/12)</f>
        <v/>
      </c>
      <c r="D65" s="15">
        <f>IF(A65="","",B65-C65)</f>
        <v/>
      </c>
      <c r="E65" s="15">
        <f>IF(A65="","",MAX(0,E64-D65))</f>
        <v/>
      </c>
    </row>
    <row r="66">
      <c r="A66" s="14">
        <f>IF(55&gt;$B$6*12,"",55)</f>
        <v/>
      </c>
      <c r="B66" s="15">
        <f>IF(A66="","",$B$7)</f>
        <v/>
      </c>
      <c r="C66" s="15">
        <f>IF(A66="","",E65*$B$5/12)</f>
        <v/>
      </c>
      <c r="D66" s="15">
        <f>IF(A66="","",B66-C66)</f>
        <v/>
      </c>
      <c r="E66" s="15">
        <f>IF(A66="","",MAX(0,E65-D66))</f>
        <v/>
      </c>
    </row>
    <row r="67">
      <c r="A67" s="14">
        <f>IF(56&gt;$B$6*12,"",56)</f>
        <v/>
      </c>
      <c r="B67" s="15">
        <f>IF(A67="","",$B$7)</f>
        <v/>
      </c>
      <c r="C67" s="15">
        <f>IF(A67="","",E66*$B$5/12)</f>
        <v/>
      </c>
      <c r="D67" s="15">
        <f>IF(A67="","",B67-C67)</f>
        <v/>
      </c>
      <c r="E67" s="15">
        <f>IF(A67="","",MAX(0,E66-D67))</f>
        <v/>
      </c>
    </row>
    <row r="68">
      <c r="A68" s="14">
        <f>IF(57&gt;$B$6*12,"",57)</f>
        <v/>
      </c>
      <c r="B68" s="15">
        <f>IF(A68="","",$B$7)</f>
        <v/>
      </c>
      <c r="C68" s="15">
        <f>IF(A68="","",E67*$B$5/12)</f>
        <v/>
      </c>
      <c r="D68" s="15">
        <f>IF(A68="","",B68-C68)</f>
        <v/>
      </c>
      <c r="E68" s="15">
        <f>IF(A68="","",MAX(0,E67-D68))</f>
        <v/>
      </c>
    </row>
    <row r="69">
      <c r="A69" s="14">
        <f>IF(58&gt;$B$6*12,"",58)</f>
        <v/>
      </c>
      <c r="B69" s="15">
        <f>IF(A69="","",$B$7)</f>
        <v/>
      </c>
      <c r="C69" s="15">
        <f>IF(A69="","",E68*$B$5/12)</f>
        <v/>
      </c>
      <c r="D69" s="15">
        <f>IF(A69="","",B69-C69)</f>
        <v/>
      </c>
      <c r="E69" s="15">
        <f>IF(A69="","",MAX(0,E68-D69))</f>
        <v/>
      </c>
    </row>
    <row r="70">
      <c r="A70" s="14">
        <f>IF(59&gt;$B$6*12,"",59)</f>
        <v/>
      </c>
      <c r="B70" s="15">
        <f>IF(A70="","",$B$7)</f>
        <v/>
      </c>
      <c r="C70" s="15">
        <f>IF(A70="","",E69*$B$5/12)</f>
        <v/>
      </c>
      <c r="D70" s="15">
        <f>IF(A70="","",B70-C70)</f>
        <v/>
      </c>
      <c r="E70" s="15">
        <f>IF(A70="","",MAX(0,E69-D70))</f>
        <v/>
      </c>
    </row>
    <row r="71">
      <c r="A71" s="14">
        <f>IF(60&gt;$B$6*12,"",60)</f>
        <v/>
      </c>
      <c r="B71" s="15">
        <f>IF(A71="","",$B$7)</f>
        <v/>
      </c>
      <c r="C71" s="15">
        <f>IF(A71="","",E70*$B$5/12)</f>
        <v/>
      </c>
      <c r="D71" s="15">
        <f>IF(A71="","",B71-C71)</f>
        <v/>
      </c>
      <c r="E71" s="15">
        <f>IF(A71="","",MAX(0,E70-D71))</f>
        <v/>
      </c>
    </row>
    <row r="72">
      <c r="A72" s="14">
        <f>IF(61&gt;$B$6*12,"",61)</f>
        <v/>
      </c>
      <c r="B72" s="15">
        <f>IF(A72="","",$B$7)</f>
        <v/>
      </c>
      <c r="C72" s="15">
        <f>IF(A72="","",E71*$B$5/12)</f>
        <v/>
      </c>
      <c r="D72" s="15">
        <f>IF(A72="","",B72-C72)</f>
        <v/>
      </c>
      <c r="E72" s="15">
        <f>IF(A72="","",MAX(0,E71-D72))</f>
        <v/>
      </c>
    </row>
    <row r="73">
      <c r="A73" s="14">
        <f>IF(62&gt;$B$6*12,"",62)</f>
        <v/>
      </c>
      <c r="B73" s="15">
        <f>IF(A73="","",$B$7)</f>
        <v/>
      </c>
      <c r="C73" s="15">
        <f>IF(A73="","",E72*$B$5/12)</f>
        <v/>
      </c>
      <c r="D73" s="15">
        <f>IF(A73="","",B73-C73)</f>
        <v/>
      </c>
      <c r="E73" s="15">
        <f>IF(A73="","",MAX(0,E72-D73))</f>
        <v/>
      </c>
    </row>
    <row r="74">
      <c r="A74" s="14">
        <f>IF(63&gt;$B$6*12,"",63)</f>
        <v/>
      </c>
      <c r="B74" s="15">
        <f>IF(A74="","",$B$7)</f>
        <v/>
      </c>
      <c r="C74" s="15">
        <f>IF(A74="","",E73*$B$5/12)</f>
        <v/>
      </c>
      <c r="D74" s="15">
        <f>IF(A74="","",B74-C74)</f>
        <v/>
      </c>
      <c r="E74" s="15">
        <f>IF(A74="","",MAX(0,E73-D74))</f>
        <v/>
      </c>
    </row>
    <row r="75">
      <c r="A75" s="14">
        <f>IF(64&gt;$B$6*12,"",64)</f>
        <v/>
      </c>
      <c r="B75" s="15">
        <f>IF(A75="","",$B$7)</f>
        <v/>
      </c>
      <c r="C75" s="15">
        <f>IF(A75="","",E74*$B$5/12)</f>
        <v/>
      </c>
      <c r="D75" s="15">
        <f>IF(A75="","",B75-C75)</f>
        <v/>
      </c>
      <c r="E75" s="15">
        <f>IF(A75="","",MAX(0,E74-D75))</f>
        <v/>
      </c>
    </row>
    <row r="76">
      <c r="A76" s="14">
        <f>IF(65&gt;$B$6*12,"",65)</f>
        <v/>
      </c>
      <c r="B76" s="15">
        <f>IF(A76="","",$B$7)</f>
        <v/>
      </c>
      <c r="C76" s="15">
        <f>IF(A76="","",E75*$B$5/12)</f>
        <v/>
      </c>
      <c r="D76" s="15">
        <f>IF(A76="","",B76-C76)</f>
        <v/>
      </c>
      <c r="E76" s="15">
        <f>IF(A76="","",MAX(0,E75-D76))</f>
        <v/>
      </c>
    </row>
    <row r="77">
      <c r="A77" s="14">
        <f>IF(66&gt;$B$6*12,"",66)</f>
        <v/>
      </c>
      <c r="B77" s="15">
        <f>IF(A77="","",$B$7)</f>
        <v/>
      </c>
      <c r="C77" s="15">
        <f>IF(A77="","",E76*$B$5/12)</f>
        <v/>
      </c>
      <c r="D77" s="15">
        <f>IF(A77="","",B77-C77)</f>
        <v/>
      </c>
      <c r="E77" s="15">
        <f>IF(A77="","",MAX(0,E76-D77))</f>
        <v/>
      </c>
    </row>
    <row r="78">
      <c r="A78" s="14">
        <f>IF(67&gt;$B$6*12,"",67)</f>
        <v/>
      </c>
      <c r="B78" s="15">
        <f>IF(A78="","",$B$7)</f>
        <v/>
      </c>
      <c r="C78" s="15">
        <f>IF(A78="","",E77*$B$5/12)</f>
        <v/>
      </c>
      <c r="D78" s="15">
        <f>IF(A78="","",B78-C78)</f>
        <v/>
      </c>
      <c r="E78" s="15">
        <f>IF(A78="","",MAX(0,E77-D78))</f>
        <v/>
      </c>
    </row>
    <row r="79">
      <c r="A79" s="14">
        <f>IF(68&gt;$B$6*12,"",68)</f>
        <v/>
      </c>
      <c r="B79" s="15">
        <f>IF(A79="","",$B$7)</f>
        <v/>
      </c>
      <c r="C79" s="15">
        <f>IF(A79="","",E78*$B$5/12)</f>
        <v/>
      </c>
      <c r="D79" s="15">
        <f>IF(A79="","",B79-C79)</f>
        <v/>
      </c>
      <c r="E79" s="15">
        <f>IF(A79="","",MAX(0,E78-D79))</f>
        <v/>
      </c>
    </row>
    <row r="80">
      <c r="A80" s="14">
        <f>IF(69&gt;$B$6*12,"",69)</f>
        <v/>
      </c>
      <c r="B80" s="15">
        <f>IF(A80="","",$B$7)</f>
        <v/>
      </c>
      <c r="C80" s="15">
        <f>IF(A80="","",E79*$B$5/12)</f>
        <v/>
      </c>
      <c r="D80" s="15">
        <f>IF(A80="","",B80-C80)</f>
        <v/>
      </c>
      <c r="E80" s="15">
        <f>IF(A80="","",MAX(0,E79-D80))</f>
        <v/>
      </c>
    </row>
    <row r="81">
      <c r="A81" s="14">
        <f>IF(70&gt;$B$6*12,"",70)</f>
        <v/>
      </c>
      <c r="B81" s="15">
        <f>IF(A81="","",$B$7)</f>
        <v/>
      </c>
      <c r="C81" s="15">
        <f>IF(A81="","",E80*$B$5/12)</f>
        <v/>
      </c>
      <c r="D81" s="15">
        <f>IF(A81="","",B81-C81)</f>
        <v/>
      </c>
      <c r="E81" s="15">
        <f>IF(A81="","",MAX(0,E80-D81))</f>
        <v/>
      </c>
    </row>
    <row r="82">
      <c r="A82" s="14">
        <f>IF(71&gt;$B$6*12,"",71)</f>
        <v/>
      </c>
      <c r="B82" s="15">
        <f>IF(A82="","",$B$7)</f>
        <v/>
      </c>
      <c r="C82" s="15">
        <f>IF(A82="","",E81*$B$5/12)</f>
        <v/>
      </c>
      <c r="D82" s="15">
        <f>IF(A82="","",B82-C82)</f>
        <v/>
      </c>
      <c r="E82" s="15">
        <f>IF(A82="","",MAX(0,E81-D82))</f>
        <v/>
      </c>
    </row>
    <row r="83">
      <c r="A83" s="14">
        <f>IF(72&gt;$B$6*12,"",72)</f>
        <v/>
      </c>
      <c r="B83" s="15">
        <f>IF(A83="","",$B$7)</f>
        <v/>
      </c>
      <c r="C83" s="15">
        <f>IF(A83="","",E82*$B$5/12)</f>
        <v/>
      </c>
      <c r="D83" s="15">
        <f>IF(A83="","",B83-C83)</f>
        <v/>
      </c>
      <c r="E83" s="15">
        <f>IF(A83="","",MAX(0,E82-D83))</f>
        <v/>
      </c>
    </row>
    <row r="84">
      <c r="A84" s="14">
        <f>IF(73&gt;$B$6*12,"",73)</f>
        <v/>
      </c>
      <c r="B84" s="15">
        <f>IF(A84="","",$B$7)</f>
        <v/>
      </c>
      <c r="C84" s="15">
        <f>IF(A84="","",E83*$B$5/12)</f>
        <v/>
      </c>
      <c r="D84" s="15">
        <f>IF(A84="","",B84-C84)</f>
        <v/>
      </c>
      <c r="E84" s="15">
        <f>IF(A84="","",MAX(0,E83-D84))</f>
        <v/>
      </c>
    </row>
    <row r="85">
      <c r="A85" s="14">
        <f>IF(74&gt;$B$6*12,"",74)</f>
        <v/>
      </c>
      <c r="B85" s="15">
        <f>IF(A85="","",$B$7)</f>
        <v/>
      </c>
      <c r="C85" s="15">
        <f>IF(A85="","",E84*$B$5/12)</f>
        <v/>
      </c>
      <c r="D85" s="15">
        <f>IF(A85="","",B85-C85)</f>
        <v/>
      </c>
      <c r="E85" s="15">
        <f>IF(A85="","",MAX(0,E84-D85))</f>
        <v/>
      </c>
    </row>
    <row r="86">
      <c r="A86" s="14">
        <f>IF(75&gt;$B$6*12,"",75)</f>
        <v/>
      </c>
      <c r="B86" s="15">
        <f>IF(A86="","",$B$7)</f>
        <v/>
      </c>
      <c r="C86" s="15">
        <f>IF(A86="","",E85*$B$5/12)</f>
        <v/>
      </c>
      <c r="D86" s="15">
        <f>IF(A86="","",B86-C86)</f>
        <v/>
      </c>
      <c r="E86" s="15">
        <f>IF(A86="","",MAX(0,E85-D86))</f>
        <v/>
      </c>
    </row>
    <row r="87">
      <c r="A87" s="14">
        <f>IF(76&gt;$B$6*12,"",76)</f>
        <v/>
      </c>
      <c r="B87" s="15">
        <f>IF(A87="","",$B$7)</f>
        <v/>
      </c>
      <c r="C87" s="15">
        <f>IF(A87="","",E86*$B$5/12)</f>
        <v/>
      </c>
      <c r="D87" s="15">
        <f>IF(A87="","",B87-C87)</f>
        <v/>
      </c>
      <c r="E87" s="15">
        <f>IF(A87="","",MAX(0,E86-D87))</f>
        <v/>
      </c>
    </row>
    <row r="88">
      <c r="A88" s="14">
        <f>IF(77&gt;$B$6*12,"",77)</f>
        <v/>
      </c>
      <c r="B88" s="15">
        <f>IF(A88="","",$B$7)</f>
        <v/>
      </c>
      <c r="C88" s="15">
        <f>IF(A88="","",E87*$B$5/12)</f>
        <v/>
      </c>
      <c r="D88" s="15">
        <f>IF(A88="","",B88-C88)</f>
        <v/>
      </c>
      <c r="E88" s="15">
        <f>IF(A88="","",MAX(0,E87-D88))</f>
        <v/>
      </c>
    </row>
    <row r="89">
      <c r="A89" s="14">
        <f>IF(78&gt;$B$6*12,"",78)</f>
        <v/>
      </c>
      <c r="B89" s="15">
        <f>IF(A89="","",$B$7)</f>
        <v/>
      </c>
      <c r="C89" s="15">
        <f>IF(A89="","",E88*$B$5/12)</f>
        <v/>
      </c>
      <c r="D89" s="15">
        <f>IF(A89="","",B89-C89)</f>
        <v/>
      </c>
      <c r="E89" s="15">
        <f>IF(A89="","",MAX(0,E88-D89))</f>
        <v/>
      </c>
    </row>
    <row r="90">
      <c r="A90" s="14">
        <f>IF(79&gt;$B$6*12,"",79)</f>
        <v/>
      </c>
      <c r="B90" s="15">
        <f>IF(A90="","",$B$7)</f>
        <v/>
      </c>
      <c r="C90" s="15">
        <f>IF(A90="","",E89*$B$5/12)</f>
        <v/>
      </c>
      <c r="D90" s="15">
        <f>IF(A90="","",B90-C90)</f>
        <v/>
      </c>
      <c r="E90" s="15">
        <f>IF(A90="","",MAX(0,E89-D90))</f>
        <v/>
      </c>
    </row>
    <row r="91">
      <c r="A91" s="14">
        <f>IF(80&gt;$B$6*12,"",80)</f>
        <v/>
      </c>
      <c r="B91" s="15">
        <f>IF(A91="","",$B$7)</f>
        <v/>
      </c>
      <c r="C91" s="15">
        <f>IF(A91="","",E90*$B$5/12)</f>
        <v/>
      </c>
      <c r="D91" s="15">
        <f>IF(A91="","",B91-C91)</f>
        <v/>
      </c>
      <c r="E91" s="15">
        <f>IF(A91="","",MAX(0,E90-D91))</f>
        <v/>
      </c>
    </row>
    <row r="92">
      <c r="A92" s="14">
        <f>IF(81&gt;$B$6*12,"",81)</f>
        <v/>
      </c>
      <c r="B92" s="15">
        <f>IF(A92="","",$B$7)</f>
        <v/>
      </c>
      <c r="C92" s="15">
        <f>IF(A92="","",E91*$B$5/12)</f>
        <v/>
      </c>
      <c r="D92" s="15">
        <f>IF(A92="","",B92-C92)</f>
        <v/>
      </c>
      <c r="E92" s="15">
        <f>IF(A92="","",MAX(0,E91-D92))</f>
        <v/>
      </c>
    </row>
    <row r="93">
      <c r="A93" s="14">
        <f>IF(82&gt;$B$6*12,"",82)</f>
        <v/>
      </c>
      <c r="B93" s="15">
        <f>IF(A93="","",$B$7)</f>
        <v/>
      </c>
      <c r="C93" s="15">
        <f>IF(A93="","",E92*$B$5/12)</f>
        <v/>
      </c>
      <c r="D93" s="15">
        <f>IF(A93="","",B93-C93)</f>
        <v/>
      </c>
      <c r="E93" s="15">
        <f>IF(A93="","",MAX(0,E92-D93))</f>
        <v/>
      </c>
    </row>
    <row r="94">
      <c r="A94" s="14">
        <f>IF(83&gt;$B$6*12,"",83)</f>
        <v/>
      </c>
      <c r="B94" s="15">
        <f>IF(A94="","",$B$7)</f>
        <v/>
      </c>
      <c r="C94" s="15">
        <f>IF(A94="","",E93*$B$5/12)</f>
        <v/>
      </c>
      <c r="D94" s="15">
        <f>IF(A94="","",B94-C94)</f>
        <v/>
      </c>
      <c r="E94" s="15">
        <f>IF(A94="","",MAX(0,E93-D94))</f>
        <v/>
      </c>
    </row>
    <row r="95">
      <c r="A95" s="14">
        <f>IF(84&gt;$B$6*12,"",84)</f>
        <v/>
      </c>
      <c r="B95" s="15">
        <f>IF(A95="","",$B$7)</f>
        <v/>
      </c>
      <c r="C95" s="15">
        <f>IF(A95="","",E94*$B$5/12)</f>
        <v/>
      </c>
      <c r="D95" s="15">
        <f>IF(A95="","",B95-C95)</f>
        <v/>
      </c>
      <c r="E95" s="15">
        <f>IF(A95="","",MAX(0,E94-D95))</f>
        <v/>
      </c>
    </row>
    <row r="96">
      <c r="A96" s="14">
        <f>IF(85&gt;$B$6*12,"",85)</f>
        <v/>
      </c>
      <c r="B96" s="15">
        <f>IF(A96="","",$B$7)</f>
        <v/>
      </c>
      <c r="C96" s="15">
        <f>IF(A96="","",E95*$B$5/12)</f>
        <v/>
      </c>
      <c r="D96" s="15">
        <f>IF(A96="","",B96-C96)</f>
        <v/>
      </c>
      <c r="E96" s="15">
        <f>IF(A96="","",MAX(0,E95-D96))</f>
        <v/>
      </c>
    </row>
    <row r="97">
      <c r="A97" s="14">
        <f>IF(86&gt;$B$6*12,"",86)</f>
        <v/>
      </c>
      <c r="B97" s="15">
        <f>IF(A97="","",$B$7)</f>
        <v/>
      </c>
      <c r="C97" s="15">
        <f>IF(A97="","",E96*$B$5/12)</f>
        <v/>
      </c>
      <c r="D97" s="15">
        <f>IF(A97="","",B97-C97)</f>
        <v/>
      </c>
      <c r="E97" s="15">
        <f>IF(A97="","",MAX(0,E96-D97))</f>
        <v/>
      </c>
    </row>
    <row r="98">
      <c r="A98" s="14">
        <f>IF(87&gt;$B$6*12,"",87)</f>
        <v/>
      </c>
      <c r="B98" s="15">
        <f>IF(A98="","",$B$7)</f>
        <v/>
      </c>
      <c r="C98" s="15">
        <f>IF(A98="","",E97*$B$5/12)</f>
        <v/>
      </c>
      <c r="D98" s="15">
        <f>IF(A98="","",B98-C98)</f>
        <v/>
      </c>
      <c r="E98" s="15">
        <f>IF(A98="","",MAX(0,E97-D98))</f>
        <v/>
      </c>
    </row>
    <row r="99">
      <c r="A99" s="14">
        <f>IF(88&gt;$B$6*12,"",88)</f>
        <v/>
      </c>
      <c r="B99" s="15">
        <f>IF(A99="","",$B$7)</f>
        <v/>
      </c>
      <c r="C99" s="15">
        <f>IF(A99="","",E98*$B$5/12)</f>
        <v/>
      </c>
      <c r="D99" s="15">
        <f>IF(A99="","",B99-C99)</f>
        <v/>
      </c>
      <c r="E99" s="15">
        <f>IF(A99="","",MAX(0,E98-D99))</f>
        <v/>
      </c>
    </row>
    <row r="100">
      <c r="A100" s="14">
        <f>IF(89&gt;$B$6*12,"",89)</f>
        <v/>
      </c>
      <c r="B100" s="15">
        <f>IF(A100="","",$B$7)</f>
        <v/>
      </c>
      <c r="C100" s="15">
        <f>IF(A100="","",E99*$B$5/12)</f>
        <v/>
      </c>
      <c r="D100" s="15">
        <f>IF(A100="","",B100-C100)</f>
        <v/>
      </c>
      <c r="E100" s="15">
        <f>IF(A100="","",MAX(0,E99-D100))</f>
        <v/>
      </c>
    </row>
    <row r="101">
      <c r="A101" s="14">
        <f>IF(90&gt;$B$6*12,"",90)</f>
        <v/>
      </c>
      <c r="B101" s="15">
        <f>IF(A101="","",$B$7)</f>
        <v/>
      </c>
      <c r="C101" s="15">
        <f>IF(A101="","",E100*$B$5/12)</f>
        <v/>
      </c>
      <c r="D101" s="15">
        <f>IF(A101="","",B101-C101)</f>
        <v/>
      </c>
      <c r="E101" s="15">
        <f>IF(A101="","",MAX(0,E100-D101))</f>
        <v/>
      </c>
    </row>
    <row r="102">
      <c r="A102" s="14">
        <f>IF(91&gt;$B$6*12,"",91)</f>
        <v/>
      </c>
      <c r="B102" s="15">
        <f>IF(A102="","",$B$7)</f>
        <v/>
      </c>
      <c r="C102" s="15">
        <f>IF(A102="","",E101*$B$5/12)</f>
        <v/>
      </c>
      <c r="D102" s="15">
        <f>IF(A102="","",B102-C102)</f>
        <v/>
      </c>
      <c r="E102" s="15">
        <f>IF(A102="","",MAX(0,E101-D102))</f>
        <v/>
      </c>
    </row>
    <row r="103">
      <c r="A103" s="14">
        <f>IF(92&gt;$B$6*12,"",92)</f>
        <v/>
      </c>
      <c r="B103" s="15">
        <f>IF(A103="","",$B$7)</f>
        <v/>
      </c>
      <c r="C103" s="15">
        <f>IF(A103="","",E102*$B$5/12)</f>
        <v/>
      </c>
      <c r="D103" s="15">
        <f>IF(A103="","",B103-C103)</f>
        <v/>
      </c>
      <c r="E103" s="15">
        <f>IF(A103="","",MAX(0,E102-D103))</f>
        <v/>
      </c>
    </row>
    <row r="104">
      <c r="A104" s="14">
        <f>IF(93&gt;$B$6*12,"",93)</f>
        <v/>
      </c>
      <c r="B104" s="15">
        <f>IF(A104="","",$B$7)</f>
        <v/>
      </c>
      <c r="C104" s="15">
        <f>IF(A104="","",E103*$B$5/12)</f>
        <v/>
      </c>
      <c r="D104" s="15">
        <f>IF(A104="","",B104-C104)</f>
        <v/>
      </c>
      <c r="E104" s="15">
        <f>IF(A104="","",MAX(0,E103-D104))</f>
        <v/>
      </c>
    </row>
    <row r="105">
      <c r="A105" s="14">
        <f>IF(94&gt;$B$6*12,"",94)</f>
        <v/>
      </c>
      <c r="B105" s="15">
        <f>IF(A105="","",$B$7)</f>
        <v/>
      </c>
      <c r="C105" s="15">
        <f>IF(A105="","",E104*$B$5/12)</f>
        <v/>
      </c>
      <c r="D105" s="15">
        <f>IF(A105="","",B105-C105)</f>
        <v/>
      </c>
      <c r="E105" s="15">
        <f>IF(A105="","",MAX(0,E104-D105))</f>
        <v/>
      </c>
    </row>
    <row r="106">
      <c r="A106" s="14">
        <f>IF(95&gt;$B$6*12,"",95)</f>
        <v/>
      </c>
      <c r="B106" s="15">
        <f>IF(A106="","",$B$7)</f>
        <v/>
      </c>
      <c r="C106" s="15">
        <f>IF(A106="","",E105*$B$5/12)</f>
        <v/>
      </c>
      <c r="D106" s="15">
        <f>IF(A106="","",B106-C106)</f>
        <v/>
      </c>
      <c r="E106" s="15">
        <f>IF(A106="","",MAX(0,E105-D106))</f>
        <v/>
      </c>
    </row>
    <row r="107">
      <c r="A107" s="14">
        <f>IF(96&gt;$B$6*12,"",96)</f>
        <v/>
      </c>
      <c r="B107" s="15">
        <f>IF(A107="","",$B$7)</f>
        <v/>
      </c>
      <c r="C107" s="15">
        <f>IF(A107="","",E106*$B$5/12)</f>
        <v/>
      </c>
      <c r="D107" s="15">
        <f>IF(A107="","",B107-C107)</f>
        <v/>
      </c>
      <c r="E107" s="15">
        <f>IF(A107="","",MAX(0,E106-D107))</f>
        <v/>
      </c>
    </row>
    <row r="108">
      <c r="A108" s="14">
        <f>IF(97&gt;$B$6*12,"",97)</f>
        <v/>
      </c>
      <c r="B108" s="15">
        <f>IF(A108="","",$B$7)</f>
        <v/>
      </c>
      <c r="C108" s="15">
        <f>IF(A108="","",E107*$B$5/12)</f>
        <v/>
      </c>
      <c r="D108" s="15">
        <f>IF(A108="","",B108-C108)</f>
        <v/>
      </c>
      <c r="E108" s="15">
        <f>IF(A108="","",MAX(0,E107-D108))</f>
        <v/>
      </c>
    </row>
    <row r="109">
      <c r="A109" s="14">
        <f>IF(98&gt;$B$6*12,"",98)</f>
        <v/>
      </c>
      <c r="B109" s="15">
        <f>IF(A109="","",$B$7)</f>
        <v/>
      </c>
      <c r="C109" s="15">
        <f>IF(A109="","",E108*$B$5/12)</f>
        <v/>
      </c>
      <c r="D109" s="15">
        <f>IF(A109="","",B109-C109)</f>
        <v/>
      </c>
      <c r="E109" s="15">
        <f>IF(A109="","",MAX(0,E108-D109))</f>
        <v/>
      </c>
    </row>
    <row r="110">
      <c r="A110" s="14">
        <f>IF(99&gt;$B$6*12,"",99)</f>
        <v/>
      </c>
      <c r="B110" s="15">
        <f>IF(A110="","",$B$7)</f>
        <v/>
      </c>
      <c r="C110" s="15">
        <f>IF(A110="","",E109*$B$5/12)</f>
        <v/>
      </c>
      <c r="D110" s="15">
        <f>IF(A110="","",B110-C110)</f>
        <v/>
      </c>
      <c r="E110" s="15">
        <f>IF(A110="","",MAX(0,E109-D110))</f>
        <v/>
      </c>
    </row>
    <row r="111">
      <c r="A111" s="14">
        <f>IF(100&gt;$B$6*12,"",100)</f>
        <v/>
      </c>
      <c r="B111" s="15">
        <f>IF(A111="","",$B$7)</f>
        <v/>
      </c>
      <c r="C111" s="15">
        <f>IF(A111="","",E110*$B$5/12)</f>
        <v/>
      </c>
      <c r="D111" s="15">
        <f>IF(A111="","",B111-C111)</f>
        <v/>
      </c>
      <c r="E111" s="15">
        <f>IF(A111="","",MAX(0,E110-D111))</f>
        <v/>
      </c>
    </row>
    <row r="112">
      <c r="A112" s="14">
        <f>IF(101&gt;$B$6*12,"",101)</f>
        <v/>
      </c>
      <c r="B112" s="15">
        <f>IF(A112="","",$B$7)</f>
        <v/>
      </c>
      <c r="C112" s="15">
        <f>IF(A112="","",E111*$B$5/12)</f>
        <v/>
      </c>
      <c r="D112" s="15">
        <f>IF(A112="","",B112-C112)</f>
        <v/>
      </c>
      <c r="E112" s="15">
        <f>IF(A112="","",MAX(0,E111-D112))</f>
        <v/>
      </c>
    </row>
    <row r="113">
      <c r="A113" s="14">
        <f>IF(102&gt;$B$6*12,"",102)</f>
        <v/>
      </c>
      <c r="B113" s="15">
        <f>IF(A113="","",$B$7)</f>
        <v/>
      </c>
      <c r="C113" s="15">
        <f>IF(A113="","",E112*$B$5/12)</f>
        <v/>
      </c>
      <c r="D113" s="15">
        <f>IF(A113="","",B113-C113)</f>
        <v/>
      </c>
      <c r="E113" s="15">
        <f>IF(A113="","",MAX(0,E112-D113))</f>
        <v/>
      </c>
    </row>
    <row r="114">
      <c r="A114" s="14">
        <f>IF(103&gt;$B$6*12,"",103)</f>
        <v/>
      </c>
      <c r="B114" s="15">
        <f>IF(A114="","",$B$7)</f>
        <v/>
      </c>
      <c r="C114" s="15">
        <f>IF(A114="","",E113*$B$5/12)</f>
        <v/>
      </c>
      <c r="D114" s="15">
        <f>IF(A114="","",B114-C114)</f>
        <v/>
      </c>
      <c r="E114" s="15">
        <f>IF(A114="","",MAX(0,E113-D114))</f>
        <v/>
      </c>
    </row>
    <row r="115">
      <c r="A115" s="14">
        <f>IF(104&gt;$B$6*12,"",104)</f>
        <v/>
      </c>
      <c r="B115" s="15">
        <f>IF(A115="","",$B$7)</f>
        <v/>
      </c>
      <c r="C115" s="15">
        <f>IF(A115="","",E114*$B$5/12)</f>
        <v/>
      </c>
      <c r="D115" s="15">
        <f>IF(A115="","",B115-C115)</f>
        <v/>
      </c>
      <c r="E115" s="15">
        <f>IF(A115="","",MAX(0,E114-D115))</f>
        <v/>
      </c>
    </row>
    <row r="116">
      <c r="A116" s="14">
        <f>IF(105&gt;$B$6*12,"",105)</f>
        <v/>
      </c>
      <c r="B116" s="15">
        <f>IF(A116="","",$B$7)</f>
        <v/>
      </c>
      <c r="C116" s="15">
        <f>IF(A116="","",E115*$B$5/12)</f>
        <v/>
      </c>
      <c r="D116" s="15">
        <f>IF(A116="","",B116-C116)</f>
        <v/>
      </c>
      <c r="E116" s="15">
        <f>IF(A116="","",MAX(0,E115-D116))</f>
        <v/>
      </c>
    </row>
    <row r="117">
      <c r="A117" s="14">
        <f>IF(106&gt;$B$6*12,"",106)</f>
        <v/>
      </c>
      <c r="B117" s="15">
        <f>IF(A117="","",$B$7)</f>
        <v/>
      </c>
      <c r="C117" s="15">
        <f>IF(A117="","",E116*$B$5/12)</f>
        <v/>
      </c>
      <c r="D117" s="15">
        <f>IF(A117="","",B117-C117)</f>
        <v/>
      </c>
      <c r="E117" s="15">
        <f>IF(A117="","",MAX(0,E116-D117))</f>
        <v/>
      </c>
    </row>
    <row r="118">
      <c r="A118" s="14">
        <f>IF(107&gt;$B$6*12,"",107)</f>
        <v/>
      </c>
      <c r="B118" s="15">
        <f>IF(A118="","",$B$7)</f>
        <v/>
      </c>
      <c r="C118" s="15">
        <f>IF(A118="","",E117*$B$5/12)</f>
        <v/>
      </c>
      <c r="D118" s="15">
        <f>IF(A118="","",B118-C118)</f>
        <v/>
      </c>
      <c r="E118" s="15">
        <f>IF(A118="","",MAX(0,E117-D118))</f>
        <v/>
      </c>
    </row>
    <row r="119">
      <c r="A119" s="14">
        <f>IF(108&gt;$B$6*12,"",108)</f>
        <v/>
      </c>
      <c r="B119" s="15">
        <f>IF(A119="","",$B$7)</f>
        <v/>
      </c>
      <c r="C119" s="15">
        <f>IF(A119="","",E118*$B$5/12)</f>
        <v/>
      </c>
      <c r="D119" s="15">
        <f>IF(A119="","",B119-C119)</f>
        <v/>
      </c>
      <c r="E119" s="15">
        <f>IF(A119="","",MAX(0,E118-D119))</f>
        <v/>
      </c>
    </row>
    <row r="120">
      <c r="A120" s="14">
        <f>IF(109&gt;$B$6*12,"",109)</f>
        <v/>
      </c>
      <c r="B120" s="15">
        <f>IF(A120="","",$B$7)</f>
        <v/>
      </c>
      <c r="C120" s="15">
        <f>IF(A120="","",E119*$B$5/12)</f>
        <v/>
      </c>
      <c r="D120" s="15">
        <f>IF(A120="","",B120-C120)</f>
        <v/>
      </c>
      <c r="E120" s="15">
        <f>IF(A120="","",MAX(0,E119-D120))</f>
        <v/>
      </c>
    </row>
    <row r="121">
      <c r="A121" s="14">
        <f>IF(110&gt;$B$6*12,"",110)</f>
        <v/>
      </c>
      <c r="B121" s="15">
        <f>IF(A121="","",$B$7)</f>
        <v/>
      </c>
      <c r="C121" s="15">
        <f>IF(A121="","",E120*$B$5/12)</f>
        <v/>
      </c>
      <c r="D121" s="15">
        <f>IF(A121="","",B121-C121)</f>
        <v/>
      </c>
      <c r="E121" s="15">
        <f>IF(A121="","",MAX(0,E120-D121))</f>
        <v/>
      </c>
    </row>
    <row r="122">
      <c r="A122" s="14">
        <f>IF(111&gt;$B$6*12,"",111)</f>
        <v/>
      </c>
      <c r="B122" s="15">
        <f>IF(A122="","",$B$7)</f>
        <v/>
      </c>
      <c r="C122" s="15">
        <f>IF(A122="","",E121*$B$5/12)</f>
        <v/>
      </c>
      <c r="D122" s="15">
        <f>IF(A122="","",B122-C122)</f>
        <v/>
      </c>
      <c r="E122" s="15">
        <f>IF(A122="","",MAX(0,E121-D122))</f>
        <v/>
      </c>
    </row>
    <row r="123">
      <c r="A123" s="14">
        <f>IF(112&gt;$B$6*12,"",112)</f>
        <v/>
      </c>
      <c r="B123" s="15">
        <f>IF(A123="","",$B$7)</f>
        <v/>
      </c>
      <c r="C123" s="15">
        <f>IF(A123="","",E122*$B$5/12)</f>
        <v/>
      </c>
      <c r="D123" s="15">
        <f>IF(A123="","",B123-C123)</f>
        <v/>
      </c>
      <c r="E123" s="15">
        <f>IF(A123="","",MAX(0,E122-D123))</f>
        <v/>
      </c>
    </row>
    <row r="124">
      <c r="A124" s="14">
        <f>IF(113&gt;$B$6*12,"",113)</f>
        <v/>
      </c>
      <c r="B124" s="15">
        <f>IF(A124="","",$B$7)</f>
        <v/>
      </c>
      <c r="C124" s="15">
        <f>IF(A124="","",E123*$B$5/12)</f>
        <v/>
      </c>
      <c r="D124" s="15">
        <f>IF(A124="","",B124-C124)</f>
        <v/>
      </c>
      <c r="E124" s="15">
        <f>IF(A124="","",MAX(0,E123-D124))</f>
        <v/>
      </c>
    </row>
    <row r="125">
      <c r="A125" s="14">
        <f>IF(114&gt;$B$6*12,"",114)</f>
        <v/>
      </c>
      <c r="B125" s="15">
        <f>IF(A125="","",$B$7)</f>
        <v/>
      </c>
      <c r="C125" s="15">
        <f>IF(A125="","",E124*$B$5/12)</f>
        <v/>
      </c>
      <c r="D125" s="15">
        <f>IF(A125="","",B125-C125)</f>
        <v/>
      </c>
      <c r="E125" s="15">
        <f>IF(A125="","",MAX(0,E124-D125))</f>
        <v/>
      </c>
    </row>
    <row r="126">
      <c r="A126" s="14">
        <f>IF(115&gt;$B$6*12,"",115)</f>
        <v/>
      </c>
      <c r="B126" s="15">
        <f>IF(A126="","",$B$7)</f>
        <v/>
      </c>
      <c r="C126" s="15">
        <f>IF(A126="","",E125*$B$5/12)</f>
        <v/>
      </c>
      <c r="D126" s="15">
        <f>IF(A126="","",B126-C126)</f>
        <v/>
      </c>
      <c r="E126" s="15">
        <f>IF(A126="","",MAX(0,E125-D126))</f>
        <v/>
      </c>
    </row>
    <row r="127">
      <c r="A127" s="14">
        <f>IF(116&gt;$B$6*12,"",116)</f>
        <v/>
      </c>
      <c r="B127" s="15">
        <f>IF(A127="","",$B$7)</f>
        <v/>
      </c>
      <c r="C127" s="15">
        <f>IF(A127="","",E126*$B$5/12)</f>
        <v/>
      </c>
      <c r="D127" s="15">
        <f>IF(A127="","",B127-C127)</f>
        <v/>
      </c>
      <c r="E127" s="15">
        <f>IF(A127="","",MAX(0,E126-D127))</f>
        <v/>
      </c>
    </row>
    <row r="128">
      <c r="A128" s="14">
        <f>IF(117&gt;$B$6*12,"",117)</f>
        <v/>
      </c>
      <c r="B128" s="15">
        <f>IF(A128="","",$B$7)</f>
        <v/>
      </c>
      <c r="C128" s="15">
        <f>IF(A128="","",E127*$B$5/12)</f>
        <v/>
      </c>
      <c r="D128" s="15">
        <f>IF(A128="","",B128-C128)</f>
        <v/>
      </c>
      <c r="E128" s="15">
        <f>IF(A128="","",MAX(0,E127-D128))</f>
        <v/>
      </c>
    </row>
    <row r="129">
      <c r="A129" s="14">
        <f>IF(118&gt;$B$6*12,"",118)</f>
        <v/>
      </c>
      <c r="B129" s="15">
        <f>IF(A129="","",$B$7)</f>
        <v/>
      </c>
      <c r="C129" s="15">
        <f>IF(A129="","",E128*$B$5/12)</f>
        <v/>
      </c>
      <c r="D129" s="15">
        <f>IF(A129="","",B129-C129)</f>
        <v/>
      </c>
      <c r="E129" s="15">
        <f>IF(A129="","",MAX(0,E128-D129))</f>
        <v/>
      </c>
    </row>
    <row r="130">
      <c r="A130" s="14">
        <f>IF(119&gt;$B$6*12,"",119)</f>
        <v/>
      </c>
      <c r="B130" s="15">
        <f>IF(A130="","",$B$7)</f>
        <v/>
      </c>
      <c r="C130" s="15">
        <f>IF(A130="","",E129*$B$5/12)</f>
        <v/>
      </c>
      <c r="D130" s="15">
        <f>IF(A130="","",B130-C130)</f>
        <v/>
      </c>
      <c r="E130" s="15">
        <f>IF(A130="","",MAX(0,E129-D130))</f>
        <v/>
      </c>
    </row>
    <row r="131">
      <c r="A131" s="14">
        <f>IF(120&gt;$B$6*12,"",120)</f>
        <v/>
      </c>
      <c r="B131" s="15">
        <f>IF(A131="","",$B$7)</f>
        <v/>
      </c>
      <c r="C131" s="15">
        <f>IF(A131="","",E130*$B$5/12)</f>
        <v/>
      </c>
      <c r="D131" s="15">
        <f>IF(A131="","",B131-C131)</f>
        <v/>
      </c>
      <c r="E131" s="15">
        <f>IF(A131="","",MAX(0,E130-D131))</f>
        <v/>
      </c>
    </row>
    <row r="132">
      <c r="A132" s="14">
        <f>IF(121&gt;$B$6*12,"",121)</f>
        <v/>
      </c>
      <c r="B132" s="15">
        <f>IF(A132="","",$B$7)</f>
        <v/>
      </c>
      <c r="C132" s="15">
        <f>IF(A132="","",E131*$B$5/12)</f>
        <v/>
      </c>
      <c r="D132" s="15">
        <f>IF(A132="","",B132-C132)</f>
        <v/>
      </c>
      <c r="E132" s="15">
        <f>IF(A132="","",MAX(0,E131-D132))</f>
        <v/>
      </c>
    </row>
    <row r="133">
      <c r="A133" s="14">
        <f>IF(122&gt;$B$6*12,"",122)</f>
        <v/>
      </c>
      <c r="B133" s="15">
        <f>IF(A133="","",$B$7)</f>
        <v/>
      </c>
      <c r="C133" s="15">
        <f>IF(A133="","",E132*$B$5/12)</f>
        <v/>
      </c>
      <c r="D133" s="15">
        <f>IF(A133="","",B133-C133)</f>
        <v/>
      </c>
      <c r="E133" s="15">
        <f>IF(A133="","",MAX(0,E132-D133))</f>
        <v/>
      </c>
    </row>
    <row r="134">
      <c r="A134" s="14">
        <f>IF(123&gt;$B$6*12,"",123)</f>
        <v/>
      </c>
      <c r="B134" s="15">
        <f>IF(A134="","",$B$7)</f>
        <v/>
      </c>
      <c r="C134" s="15">
        <f>IF(A134="","",E133*$B$5/12)</f>
        <v/>
      </c>
      <c r="D134" s="15">
        <f>IF(A134="","",B134-C134)</f>
        <v/>
      </c>
      <c r="E134" s="15">
        <f>IF(A134="","",MAX(0,E133-D134))</f>
        <v/>
      </c>
    </row>
    <row r="135">
      <c r="A135" s="14">
        <f>IF(124&gt;$B$6*12,"",124)</f>
        <v/>
      </c>
      <c r="B135" s="15">
        <f>IF(A135="","",$B$7)</f>
        <v/>
      </c>
      <c r="C135" s="15">
        <f>IF(A135="","",E134*$B$5/12)</f>
        <v/>
      </c>
      <c r="D135" s="15">
        <f>IF(A135="","",B135-C135)</f>
        <v/>
      </c>
      <c r="E135" s="15">
        <f>IF(A135="","",MAX(0,E134-D135))</f>
        <v/>
      </c>
    </row>
    <row r="136">
      <c r="A136" s="14">
        <f>IF(125&gt;$B$6*12,"",125)</f>
        <v/>
      </c>
      <c r="B136" s="15">
        <f>IF(A136="","",$B$7)</f>
        <v/>
      </c>
      <c r="C136" s="15">
        <f>IF(A136="","",E135*$B$5/12)</f>
        <v/>
      </c>
      <c r="D136" s="15">
        <f>IF(A136="","",B136-C136)</f>
        <v/>
      </c>
      <c r="E136" s="15">
        <f>IF(A136="","",MAX(0,E135-D136))</f>
        <v/>
      </c>
    </row>
    <row r="137">
      <c r="A137" s="14">
        <f>IF(126&gt;$B$6*12,"",126)</f>
        <v/>
      </c>
      <c r="B137" s="15">
        <f>IF(A137="","",$B$7)</f>
        <v/>
      </c>
      <c r="C137" s="15">
        <f>IF(A137="","",E136*$B$5/12)</f>
        <v/>
      </c>
      <c r="D137" s="15">
        <f>IF(A137="","",B137-C137)</f>
        <v/>
      </c>
      <c r="E137" s="15">
        <f>IF(A137="","",MAX(0,E136-D137))</f>
        <v/>
      </c>
    </row>
    <row r="138">
      <c r="A138" s="14">
        <f>IF(127&gt;$B$6*12,"",127)</f>
        <v/>
      </c>
      <c r="B138" s="15">
        <f>IF(A138="","",$B$7)</f>
        <v/>
      </c>
      <c r="C138" s="15">
        <f>IF(A138="","",E137*$B$5/12)</f>
        <v/>
      </c>
      <c r="D138" s="15">
        <f>IF(A138="","",B138-C138)</f>
        <v/>
      </c>
      <c r="E138" s="15">
        <f>IF(A138="","",MAX(0,E137-D138))</f>
        <v/>
      </c>
    </row>
    <row r="139">
      <c r="A139" s="14">
        <f>IF(128&gt;$B$6*12,"",128)</f>
        <v/>
      </c>
      <c r="B139" s="15">
        <f>IF(A139="","",$B$7)</f>
        <v/>
      </c>
      <c r="C139" s="15">
        <f>IF(A139="","",E138*$B$5/12)</f>
        <v/>
      </c>
      <c r="D139" s="15">
        <f>IF(A139="","",B139-C139)</f>
        <v/>
      </c>
      <c r="E139" s="15">
        <f>IF(A139="","",MAX(0,E138-D139))</f>
        <v/>
      </c>
    </row>
    <row r="140">
      <c r="A140" s="14">
        <f>IF(129&gt;$B$6*12,"",129)</f>
        <v/>
      </c>
      <c r="B140" s="15">
        <f>IF(A140="","",$B$7)</f>
        <v/>
      </c>
      <c r="C140" s="15">
        <f>IF(A140="","",E139*$B$5/12)</f>
        <v/>
      </c>
      <c r="D140" s="15">
        <f>IF(A140="","",B140-C140)</f>
        <v/>
      </c>
      <c r="E140" s="15">
        <f>IF(A140="","",MAX(0,E139-D140))</f>
        <v/>
      </c>
    </row>
    <row r="141">
      <c r="A141" s="14">
        <f>IF(130&gt;$B$6*12,"",130)</f>
        <v/>
      </c>
      <c r="B141" s="15">
        <f>IF(A141="","",$B$7)</f>
        <v/>
      </c>
      <c r="C141" s="15">
        <f>IF(A141="","",E140*$B$5/12)</f>
        <v/>
      </c>
      <c r="D141" s="15">
        <f>IF(A141="","",B141-C141)</f>
        <v/>
      </c>
      <c r="E141" s="15">
        <f>IF(A141="","",MAX(0,E140-D141))</f>
        <v/>
      </c>
    </row>
    <row r="142">
      <c r="A142" s="14">
        <f>IF(131&gt;$B$6*12,"",131)</f>
        <v/>
      </c>
      <c r="B142" s="15">
        <f>IF(A142="","",$B$7)</f>
        <v/>
      </c>
      <c r="C142" s="15">
        <f>IF(A142="","",E141*$B$5/12)</f>
        <v/>
      </c>
      <c r="D142" s="15">
        <f>IF(A142="","",B142-C142)</f>
        <v/>
      </c>
      <c r="E142" s="15">
        <f>IF(A142="","",MAX(0,E141-D142))</f>
        <v/>
      </c>
    </row>
    <row r="143">
      <c r="A143" s="14">
        <f>IF(132&gt;$B$6*12,"",132)</f>
        <v/>
      </c>
      <c r="B143" s="15">
        <f>IF(A143="","",$B$7)</f>
        <v/>
      </c>
      <c r="C143" s="15">
        <f>IF(A143="","",E142*$B$5/12)</f>
        <v/>
      </c>
      <c r="D143" s="15">
        <f>IF(A143="","",B143-C143)</f>
        <v/>
      </c>
      <c r="E143" s="15">
        <f>IF(A143="","",MAX(0,E142-D143))</f>
        <v/>
      </c>
    </row>
    <row r="144">
      <c r="A144" s="14">
        <f>IF(133&gt;$B$6*12,"",133)</f>
        <v/>
      </c>
      <c r="B144" s="15">
        <f>IF(A144="","",$B$7)</f>
        <v/>
      </c>
      <c r="C144" s="15">
        <f>IF(A144="","",E143*$B$5/12)</f>
        <v/>
      </c>
      <c r="D144" s="15">
        <f>IF(A144="","",B144-C144)</f>
        <v/>
      </c>
      <c r="E144" s="15">
        <f>IF(A144="","",MAX(0,E143-D144))</f>
        <v/>
      </c>
    </row>
    <row r="145">
      <c r="A145" s="14">
        <f>IF(134&gt;$B$6*12,"",134)</f>
        <v/>
      </c>
      <c r="B145" s="15">
        <f>IF(A145="","",$B$7)</f>
        <v/>
      </c>
      <c r="C145" s="15">
        <f>IF(A145="","",E144*$B$5/12)</f>
        <v/>
      </c>
      <c r="D145" s="15">
        <f>IF(A145="","",B145-C145)</f>
        <v/>
      </c>
      <c r="E145" s="15">
        <f>IF(A145="","",MAX(0,E144-D145))</f>
        <v/>
      </c>
    </row>
    <row r="146">
      <c r="A146" s="14">
        <f>IF(135&gt;$B$6*12,"",135)</f>
        <v/>
      </c>
      <c r="B146" s="15">
        <f>IF(A146="","",$B$7)</f>
        <v/>
      </c>
      <c r="C146" s="15">
        <f>IF(A146="","",E145*$B$5/12)</f>
        <v/>
      </c>
      <c r="D146" s="15">
        <f>IF(A146="","",B146-C146)</f>
        <v/>
      </c>
      <c r="E146" s="15">
        <f>IF(A146="","",MAX(0,E145-D146))</f>
        <v/>
      </c>
    </row>
    <row r="147">
      <c r="A147" s="14">
        <f>IF(136&gt;$B$6*12,"",136)</f>
        <v/>
      </c>
      <c r="B147" s="15">
        <f>IF(A147="","",$B$7)</f>
        <v/>
      </c>
      <c r="C147" s="15">
        <f>IF(A147="","",E146*$B$5/12)</f>
        <v/>
      </c>
      <c r="D147" s="15">
        <f>IF(A147="","",B147-C147)</f>
        <v/>
      </c>
      <c r="E147" s="15">
        <f>IF(A147="","",MAX(0,E146-D147))</f>
        <v/>
      </c>
    </row>
    <row r="148">
      <c r="A148" s="14">
        <f>IF(137&gt;$B$6*12,"",137)</f>
        <v/>
      </c>
      <c r="B148" s="15">
        <f>IF(A148="","",$B$7)</f>
        <v/>
      </c>
      <c r="C148" s="15">
        <f>IF(A148="","",E147*$B$5/12)</f>
        <v/>
      </c>
      <c r="D148" s="15">
        <f>IF(A148="","",B148-C148)</f>
        <v/>
      </c>
      <c r="E148" s="15">
        <f>IF(A148="","",MAX(0,E147-D148))</f>
        <v/>
      </c>
    </row>
    <row r="149">
      <c r="A149" s="14">
        <f>IF(138&gt;$B$6*12,"",138)</f>
        <v/>
      </c>
      <c r="B149" s="15">
        <f>IF(A149="","",$B$7)</f>
        <v/>
      </c>
      <c r="C149" s="15">
        <f>IF(A149="","",E148*$B$5/12)</f>
        <v/>
      </c>
      <c r="D149" s="15">
        <f>IF(A149="","",B149-C149)</f>
        <v/>
      </c>
      <c r="E149" s="15">
        <f>IF(A149="","",MAX(0,E148-D149))</f>
        <v/>
      </c>
    </row>
    <row r="150">
      <c r="A150" s="14">
        <f>IF(139&gt;$B$6*12,"",139)</f>
        <v/>
      </c>
      <c r="B150" s="15">
        <f>IF(A150="","",$B$7)</f>
        <v/>
      </c>
      <c r="C150" s="15">
        <f>IF(A150="","",E149*$B$5/12)</f>
        <v/>
      </c>
      <c r="D150" s="15">
        <f>IF(A150="","",B150-C150)</f>
        <v/>
      </c>
      <c r="E150" s="15">
        <f>IF(A150="","",MAX(0,E149-D150))</f>
        <v/>
      </c>
    </row>
    <row r="151">
      <c r="A151" s="14">
        <f>IF(140&gt;$B$6*12,"",140)</f>
        <v/>
      </c>
      <c r="B151" s="15">
        <f>IF(A151="","",$B$7)</f>
        <v/>
      </c>
      <c r="C151" s="15">
        <f>IF(A151="","",E150*$B$5/12)</f>
        <v/>
      </c>
      <c r="D151" s="15">
        <f>IF(A151="","",B151-C151)</f>
        <v/>
      </c>
      <c r="E151" s="15">
        <f>IF(A151="","",MAX(0,E150-D151))</f>
        <v/>
      </c>
    </row>
    <row r="152">
      <c r="A152" s="14">
        <f>IF(141&gt;$B$6*12,"",141)</f>
        <v/>
      </c>
      <c r="B152" s="15">
        <f>IF(A152="","",$B$7)</f>
        <v/>
      </c>
      <c r="C152" s="15">
        <f>IF(A152="","",E151*$B$5/12)</f>
        <v/>
      </c>
      <c r="D152" s="15">
        <f>IF(A152="","",B152-C152)</f>
        <v/>
      </c>
      <c r="E152" s="15">
        <f>IF(A152="","",MAX(0,E151-D152))</f>
        <v/>
      </c>
    </row>
    <row r="153">
      <c r="A153" s="14">
        <f>IF(142&gt;$B$6*12,"",142)</f>
        <v/>
      </c>
      <c r="B153" s="15">
        <f>IF(A153="","",$B$7)</f>
        <v/>
      </c>
      <c r="C153" s="15">
        <f>IF(A153="","",E152*$B$5/12)</f>
        <v/>
      </c>
      <c r="D153" s="15">
        <f>IF(A153="","",B153-C153)</f>
        <v/>
      </c>
      <c r="E153" s="15">
        <f>IF(A153="","",MAX(0,E152-D153))</f>
        <v/>
      </c>
    </row>
    <row r="154">
      <c r="A154" s="14">
        <f>IF(143&gt;$B$6*12,"",143)</f>
        <v/>
      </c>
      <c r="B154" s="15">
        <f>IF(A154="","",$B$7)</f>
        <v/>
      </c>
      <c r="C154" s="15">
        <f>IF(A154="","",E153*$B$5/12)</f>
        <v/>
      </c>
      <c r="D154" s="15">
        <f>IF(A154="","",B154-C154)</f>
        <v/>
      </c>
      <c r="E154" s="15">
        <f>IF(A154="","",MAX(0,E153-D154))</f>
        <v/>
      </c>
    </row>
    <row r="155">
      <c r="A155" s="14">
        <f>IF(144&gt;$B$6*12,"",144)</f>
        <v/>
      </c>
      <c r="B155" s="15">
        <f>IF(A155="","",$B$7)</f>
        <v/>
      </c>
      <c r="C155" s="15">
        <f>IF(A155="","",E154*$B$5/12)</f>
        <v/>
      </c>
      <c r="D155" s="15">
        <f>IF(A155="","",B155-C155)</f>
        <v/>
      </c>
      <c r="E155" s="15">
        <f>IF(A155="","",MAX(0,E154-D155))</f>
        <v/>
      </c>
    </row>
    <row r="156">
      <c r="A156" s="14">
        <f>IF(145&gt;$B$6*12,"",145)</f>
        <v/>
      </c>
      <c r="B156" s="15">
        <f>IF(A156="","",$B$7)</f>
        <v/>
      </c>
      <c r="C156" s="15">
        <f>IF(A156="","",E155*$B$5/12)</f>
        <v/>
      </c>
      <c r="D156" s="15">
        <f>IF(A156="","",B156-C156)</f>
        <v/>
      </c>
      <c r="E156" s="15">
        <f>IF(A156="","",MAX(0,E155-D156))</f>
        <v/>
      </c>
    </row>
    <row r="157">
      <c r="A157" s="14">
        <f>IF(146&gt;$B$6*12,"",146)</f>
        <v/>
      </c>
      <c r="B157" s="15">
        <f>IF(A157="","",$B$7)</f>
        <v/>
      </c>
      <c r="C157" s="15">
        <f>IF(A157="","",E156*$B$5/12)</f>
        <v/>
      </c>
      <c r="D157" s="15">
        <f>IF(A157="","",B157-C157)</f>
        <v/>
      </c>
      <c r="E157" s="15">
        <f>IF(A157="","",MAX(0,E156-D157))</f>
        <v/>
      </c>
    </row>
    <row r="158">
      <c r="A158" s="14">
        <f>IF(147&gt;$B$6*12,"",147)</f>
        <v/>
      </c>
      <c r="B158" s="15">
        <f>IF(A158="","",$B$7)</f>
        <v/>
      </c>
      <c r="C158" s="15">
        <f>IF(A158="","",E157*$B$5/12)</f>
        <v/>
      </c>
      <c r="D158" s="15">
        <f>IF(A158="","",B158-C158)</f>
        <v/>
      </c>
      <c r="E158" s="15">
        <f>IF(A158="","",MAX(0,E157-D158))</f>
        <v/>
      </c>
    </row>
    <row r="159">
      <c r="A159" s="14">
        <f>IF(148&gt;$B$6*12,"",148)</f>
        <v/>
      </c>
      <c r="B159" s="15">
        <f>IF(A159="","",$B$7)</f>
        <v/>
      </c>
      <c r="C159" s="15">
        <f>IF(A159="","",E158*$B$5/12)</f>
        <v/>
      </c>
      <c r="D159" s="15">
        <f>IF(A159="","",B159-C159)</f>
        <v/>
      </c>
      <c r="E159" s="15">
        <f>IF(A159="","",MAX(0,E158-D159))</f>
        <v/>
      </c>
    </row>
    <row r="160">
      <c r="A160" s="14">
        <f>IF(149&gt;$B$6*12,"",149)</f>
        <v/>
      </c>
      <c r="B160" s="15">
        <f>IF(A160="","",$B$7)</f>
        <v/>
      </c>
      <c r="C160" s="15">
        <f>IF(A160="","",E159*$B$5/12)</f>
        <v/>
      </c>
      <c r="D160" s="15">
        <f>IF(A160="","",B160-C160)</f>
        <v/>
      </c>
      <c r="E160" s="15">
        <f>IF(A160="","",MAX(0,E159-D160))</f>
        <v/>
      </c>
    </row>
    <row r="161">
      <c r="A161" s="14">
        <f>IF(150&gt;$B$6*12,"",150)</f>
        <v/>
      </c>
      <c r="B161" s="15">
        <f>IF(A161="","",$B$7)</f>
        <v/>
      </c>
      <c r="C161" s="15">
        <f>IF(A161="","",E160*$B$5/12)</f>
        <v/>
      </c>
      <c r="D161" s="15">
        <f>IF(A161="","",B161-C161)</f>
        <v/>
      </c>
      <c r="E161" s="15">
        <f>IF(A161="","",MAX(0,E160-D161))</f>
        <v/>
      </c>
    </row>
    <row r="162">
      <c r="A162" s="14">
        <f>IF(151&gt;$B$6*12,"",151)</f>
        <v/>
      </c>
      <c r="B162" s="15">
        <f>IF(A162="","",$B$7)</f>
        <v/>
      </c>
      <c r="C162" s="15">
        <f>IF(A162="","",E161*$B$5/12)</f>
        <v/>
      </c>
      <c r="D162" s="15">
        <f>IF(A162="","",B162-C162)</f>
        <v/>
      </c>
      <c r="E162" s="15">
        <f>IF(A162="","",MAX(0,E161-D162))</f>
        <v/>
      </c>
    </row>
    <row r="163">
      <c r="A163" s="14">
        <f>IF(152&gt;$B$6*12,"",152)</f>
        <v/>
      </c>
      <c r="B163" s="15">
        <f>IF(A163="","",$B$7)</f>
        <v/>
      </c>
      <c r="C163" s="15">
        <f>IF(A163="","",E162*$B$5/12)</f>
        <v/>
      </c>
      <c r="D163" s="15">
        <f>IF(A163="","",B163-C163)</f>
        <v/>
      </c>
      <c r="E163" s="15">
        <f>IF(A163="","",MAX(0,E162-D163))</f>
        <v/>
      </c>
    </row>
    <row r="164">
      <c r="A164" s="14">
        <f>IF(153&gt;$B$6*12,"",153)</f>
        <v/>
      </c>
      <c r="B164" s="15">
        <f>IF(A164="","",$B$7)</f>
        <v/>
      </c>
      <c r="C164" s="15">
        <f>IF(A164="","",E163*$B$5/12)</f>
        <v/>
      </c>
      <c r="D164" s="15">
        <f>IF(A164="","",B164-C164)</f>
        <v/>
      </c>
      <c r="E164" s="15">
        <f>IF(A164="","",MAX(0,E163-D164))</f>
        <v/>
      </c>
    </row>
    <row r="165">
      <c r="A165" s="14">
        <f>IF(154&gt;$B$6*12,"",154)</f>
        <v/>
      </c>
      <c r="B165" s="15">
        <f>IF(A165="","",$B$7)</f>
        <v/>
      </c>
      <c r="C165" s="15">
        <f>IF(A165="","",E164*$B$5/12)</f>
        <v/>
      </c>
      <c r="D165" s="15">
        <f>IF(A165="","",B165-C165)</f>
        <v/>
      </c>
      <c r="E165" s="15">
        <f>IF(A165="","",MAX(0,E164-D165))</f>
        <v/>
      </c>
    </row>
    <row r="166">
      <c r="A166" s="14">
        <f>IF(155&gt;$B$6*12,"",155)</f>
        <v/>
      </c>
      <c r="B166" s="15">
        <f>IF(A166="","",$B$7)</f>
        <v/>
      </c>
      <c r="C166" s="15">
        <f>IF(A166="","",E165*$B$5/12)</f>
        <v/>
      </c>
      <c r="D166" s="15">
        <f>IF(A166="","",B166-C166)</f>
        <v/>
      </c>
      <c r="E166" s="15">
        <f>IF(A166="","",MAX(0,E165-D166))</f>
        <v/>
      </c>
    </row>
    <row r="167">
      <c r="A167" s="14">
        <f>IF(156&gt;$B$6*12,"",156)</f>
        <v/>
      </c>
      <c r="B167" s="15">
        <f>IF(A167="","",$B$7)</f>
        <v/>
      </c>
      <c r="C167" s="15">
        <f>IF(A167="","",E166*$B$5/12)</f>
        <v/>
      </c>
      <c r="D167" s="15">
        <f>IF(A167="","",B167-C167)</f>
        <v/>
      </c>
      <c r="E167" s="15">
        <f>IF(A167="","",MAX(0,E166-D167))</f>
        <v/>
      </c>
    </row>
    <row r="168">
      <c r="A168" s="14">
        <f>IF(157&gt;$B$6*12,"",157)</f>
        <v/>
      </c>
      <c r="B168" s="15">
        <f>IF(A168="","",$B$7)</f>
        <v/>
      </c>
      <c r="C168" s="15">
        <f>IF(A168="","",E167*$B$5/12)</f>
        <v/>
      </c>
      <c r="D168" s="15">
        <f>IF(A168="","",B168-C168)</f>
        <v/>
      </c>
      <c r="E168" s="15">
        <f>IF(A168="","",MAX(0,E167-D168))</f>
        <v/>
      </c>
    </row>
    <row r="169">
      <c r="A169" s="14">
        <f>IF(158&gt;$B$6*12,"",158)</f>
        <v/>
      </c>
      <c r="B169" s="15">
        <f>IF(A169="","",$B$7)</f>
        <v/>
      </c>
      <c r="C169" s="15">
        <f>IF(A169="","",E168*$B$5/12)</f>
        <v/>
      </c>
      <c r="D169" s="15">
        <f>IF(A169="","",B169-C169)</f>
        <v/>
      </c>
      <c r="E169" s="15">
        <f>IF(A169="","",MAX(0,E168-D169))</f>
        <v/>
      </c>
    </row>
    <row r="170">
      <c r="A170" s="14">
        <f>IF(159&gt;$B$6*12,"",159)</f>
        <v/>
      </c>
      <c r="B170" s="15">
        <f>IF(A170="","",$B$7)</f>
        <v/>
      </c>
      <c r="C170" s="15">
        <f>IF(A170="","",E169*$B$5/12)</f>
        <v/>
      </c>
      <c r="D170" s="15">
        <f>IF(A170="","",B170-C170)</f>
        <v/>
      </c>
      <c r="E170" s="15">
        <f>IF(A170="","",MAX(0,E169-D170))</f>
        <v/>
      </c>
    </row>
    <row r="171">
      <c r="A171" s="14">
        <f>IF(160&gt;$B$6*12,"",160)</f>
        <v/>
      </c>
      <c r="B171" s="15">
        <f>IF(A171="","",$B$7)</f>
        <v/>
      </c>
      <c r="C171" s="15">
        <f>IF(A171="","",E170*$B$5/12)</f>
        <v/>
      </c>
      <c r="D171" s="15">
        <f>IF(A171="","",B171-C171)</f>
        <v/>
      </c>
      <c r="E171" s="15">
        <f>IF(A171="","",MAX(0,E170-D171))</f>
        <v/>
      </c>
    </row>
    <row r="172">
      <c r="A172" s="14">
        <f>IF(161&gt;$B$6*12,"",161)</f>
        <v/>
      </c>
      <c r="B172" s="15">
        <f>IF(A172="","",$B$7)</f>
        <v/>
      </c>
      <c r="C172" s="15">
        <f>IF(A172="","",E171*$B$5/12)</f>
        <v/>
      </c>
      <c r="D172" s="15">
        <f>IF(A172="","",B172-C172)</f>
        <v/>
      </c>
      <c r="E172" s="15">
        <f>IF(A172="","",MAX(0,E171-D172))</f>
        <v/>
      </c>
    </row>
    <row r="173">
      <c r="A173" s="14">
        <f>IF(162&gt;$B$6*12,"",162)</f>
        <v/>
      </c>
      <c r="B173" s="15">
        <f>IF(A173="","",$B$7)</f>
        <v/>
      </c>
      <c r="C173" s="15">
        <f>IF(A173="","",E172*$B$5/12)</f>
        <v/>
      </c>
      <c r="D173" s="15">
        <f>IF(A173="","",B173-C173)</f>
        <v/>
      </c>
      <c r="E173" s="15">
        <f>IF(A173="","",MAX(0,E172-D173))</f>
        <v/>
      </c>
    </row>
    <row r="174">
      <c r="A174" s="14">
        <f>IF(163&gt;$B$6*12,"",163)</f>
        <v/>
      </c>
      <c r="B174" s="15">
        <f>IF(A174="","",$B$7)</f>
        <v/>
      </c>
      <c r="C174" s="15">
        <f>IF(A174="","",E173*$B$5/12)</f>
        <v/>
      </c>
      <c r="D174" s="15">
        <f>IF(A174="","",B174-C174)</f>
        <v/>
      </c>
      <c r="E174" s="15">
        <f>IF(A174="","",MAX(0,E173-D174))</f>
        <v/>
      </c>
    </row>
    <row r="175">
      <c r="A175" s="14">
        <f>IF(164&gt;$B$6*12,"",164)</f>
        <v/>
      </c>
      <c r="B175" s="15">
        <f>IF(A175="","",$B$7)</f>
        <v/>
      </c>
      <c r="C175" s="15">
        <f>IF(A175="","",E174*$B$5/12)</f>
        <v/>
      </c>
      <c r="D175" s="15">
        <f>IF(A175="","",B175-C175)</f>
        <v/>
      </c>
      <c r="E175" s="15">
        <f>IF(A175="","",MAX(0,E174-D175))</f>
        <v/>
      </c>
    </row>
    <row r="176">
      <c r="A176" s="14">
        <f>IF(165&gt;$B$6*12,"",165)</f>
        <v/>
      </c>
      <c r="B176" s="15">
        <f>IF(A176="","",$B$7)</f>
        <v/>
      </c>
      <c r="C176" s="15">
        <f>IF(A176="","",E175*$B$5/12)</f>
        <v/>
      </c>
      <c r="D176" s="15">
        <f>IF(A176="","",B176-C176)</f>
        <v/>
      </c>
      <c r="E176" s="15">
        <f>IF(A176="","",MAX(0,E175-D176))</f>
        <v/>
      </c>
    </row>
    <row r="177">
      <c r="A177" s="14">
        <f>IF(166&gt;$B$6*12,"",166)</f>
        <v/>
      </c>
      <c r="B177" s="15">
        <f>IF(A177="","",$B$7)</f>
        <v/>
      </c>
      <c r="C177" s="15">
        <f>IF(A177="","",E176*$B$5/12)</f>
        <v/>
      </c>
      <c r="D177" s="15">
        <f>IF(A177="","",B177-C177)</f>
        <v/>
      </c>
      <c r="E177" s="15">
        <f>IF(A177="","",MAX(0,E176-D177))</f>
        <v/>
      </c>
    </row>
    <row r="178">
      <c r="A178" s="14">
        <f>IF(167&gt;$B$6*12,"",167)</f>
        <v/>
      </c>
      <c r="B178" s="15">
        <f>IF(A178="","",$B$7)</f>
        <v/>
      </c>
      <c r="C178" s="15">
        <f>IF(A178="","",E177*$B$5/12)</f>
        <v/>
      </c>
      <c r="D178" s="15">
        <f>IF(A178="","",B178-C178)</f>
        <v/>
      </c>
      <c r="E178" s="15">
        <f>IF(A178="","",MAX(0,E177-D178))</f>
        <v/>
      </c>
    </row>
    <row r="179">
      <c r="A179" s="14">
        <f>IF(168&gt;$B$6*12,"",168)</f>
        <v/>
      </c>
      <c r="B179" s="15">
        <f>IF(A179="","",$B$7)</f>
        <v/>
      </c>
      <c r="C179" s="15">
        <f>IF(A179="","",E178*$B$5/12)</f>
        <v/>
      </c>
      <c r="D179" s="15">
        <f>IF(A179="","",B179-C179)</f>
        <v/>
      </c>
      <c r="E179" s="15">
        <f>IF(A179="","",MAX(0,E178-D179))</f>
        <v/>
      </c>
    </row>
    <row r="180">
      <c r="A180" s="14">
        <f>IF(169&gt;$B$6*12,"",169)</f>
        <v/>
      </c>
      <c r="B180" s="15">
        <f>IF(A180="","",$B$7)</f>
        <v/>
      </c>
      <c r="C180" s="15">
        <f>IF(A180="","",E179*$B$5/12)</f>
        <v/>
      </c>
      <c r="D180" s="15">
        <f>IF(A180="","",B180-C180)</f>
        <v/>
      </c>
      <c r="E180" s="15">
        <f>IF(A180="","",MAX(0,E179-D180))</f>
        <v/>
      </c>
    </row>
    <row r="181">
      <c r="A181" s="14">
        <f>IF(170&gt;$B$6*12,"",170)</f>
        <v/>
      </c>
      <c r="B181" s="15">
        <f>IF(A181="","",$B$7)</f>
        <v/>
      </c>
      <c r="C181" s="15">
        <f>IF(A181="","",E180*$B$5/12)</f>
        <v/>
      </c>
      <c r="D181" s="15">
        <f>IF(A181="","",B181-C181)</f>
        <v/>
      </c>
      <c r="E181" s="15">
        <f>IF(A181="","",MAX(0,E180-D181))</f>
        <v/>
      </c>
    </row>
    <row r="182">
      <c r="A182" s="14">
        <f>IF(171&gt;$B$6*12,"",171)</f>
        <v/>
      </c>
      <c r="B182" s="15">
        <f>IF(A182="","",$B$7)</f>
        <v/>
      </c>
      <c r="C182" s="15">
        <f>IF(A182="","",E181*$B$5/12)</f>
        <v/>
      </c>
      <c r="D182" s="15">
        <f>IF(A182="","",B182-C182)</f>
        <v/>
      </c>
      <c r="E182" s="15">
        <f>IF(A182="","",MAX(0,E181-D182))</f>
        <v/>
      </c>
    </row>
    <row r="183">
      <c r="A183" s="14">
        <f>IF(172&gt;$B$6*12,"",172)</f>
        <v/>
      </c>
      <c r="B183" s="15">
        <f>IF(A183="","",$B$7)</f>
        <v/>
      </c>
      <c r="C183" s="15">
        <f>IF(A183="","",E182*$B$5/12)</f>
        <v/>
      </c>
      <c r="D183" s="15">
        <f>IF(A183="","",B183-C183)</f>
        <v/>
      </c>
      <c r="E183" s="15">
        <f>IF(A183="","",MAX(0,E182-D183))</f>
        <v/>
      </c>
    </row>
    <row r="184">
      <c r="A184" s="14">
        <f>IF(173&gt;$B$6*12,"",173)</f>
        <v/>
      </c>
      <c r="B184" s="15">
        <f>IF(A184="","",$B$7)</f>
        <v/>
      </c>
      <c r="C184" s="15">
        <f>IF(A184="","",E183*$B$5/12)</f>
        <v/>
      </c>
      <c r="D184" s="15">
        <f>IF(A184="","",B184-C184)</f>
        <v/>
      </c>
      <c r="E184" s="15">
        <f>IF(A184="","",MAX(0,E183-D184))</f>
        <v/>
      </c>
    </row>
    <row r="185">
      <c r="A185" s="14">
        <f>IF(174&gt;$B$6*12,"",174)</f>
        <v/>
      </c>
      <c r="B185" s="15">
        <f>IF(A185="","",$B$7)</f>
        <v/>
      </c>
      <c r="C185" s="15">
        <f>IF(A185="","",E184*$B$5/12)</f>
        <v/>
      </c>
      <c r="D185" s="15">
        <f>IF(A185="","",B185-C185)</f>
        <v/>
      </c>
      <c r="E185" s="15">
        <f>IF(A185="","",MAX(0,E184-D185))</f>
        <v/>
      </c>
    </row>
    <row r="186">
      <c r="A186" s="14">
        <f>IF(175&gt;$B$6*12,"",175)</f>
        <v/>
      </c>
      <c r="B186" s="15">
        <f>IF(A186="","",$B$7)</f>
        <v/>
      </c>
      <c r="C186" s="15">
        <f>IF(A186="","",E185*$B$5/12)</f>
        <v/>
      </c>
      <c r="D186" s="15">
        <f>IF(A186="","",B186-C186)</f>
        <v/>
      </c>
      <c r="E186" s="15">
        <f>IF(A186="","",MAX(0,E185-D186))</f>
        <v/>
      </c>
    </row>
    <row r="187">
      <c r="A187" s="14">
        <f>IF(176&gt;$B$6*12,"",176)</f>
        <v/>
      </c>
      <c r="B187" s="15">
        <f>IF(A187="","",$B$7)</f>
        <v/>
      </c>
      <c r="C187" s="15">
        <f>IF(A187="","",E186*$B$5/12)</f>
        <v/>
      </c>
      <c r="D187" s="15">
        <f>IF(A187="","",B187-C187)</f>
        <v/>
      </c>
      <c r="E187" s="15">
        <f>IF(A187="","",MAX(0,E186-D187))</f>
        <v/>
      </c>
    </row>
    <row r="188">
      <c r="A188" s="14">
        <f>IF(177&gt;$B$6*12,"",177)</f>
        <v/>
      </c>
      <c r="B188" s="15">
        <f>IF(A188="","",$B$7)</f>
        <v/>
      </c>
      <c r="C188" s="15">
        <f>IF(A188="","",E187*$B$5/12)</f>
        <v/>
      </c>
      <c r="D188" s="15">
        <f>IF(A188="","",B188-C188)</f>
        <v/>
      </c>
      <c r="E188" s="15">
        <f>IF(A188="","",MAX(0,E187-D188))</f>
        <v/>
      </c>
    </row>
    <row r="189">
      <c r="A189" s="14">
        <f>IF(178&gt;$B$6*12,"",178)</f>
        <v/>
      </c>
      <c r="B189" s="15">
        <f>IF(A189="","",$B$7)</f>
        <v/>
      </c>
      <c r="C189" s="15">
        <f>IF(A189="","",E188*$B$5/12)</f>
        <v/>
      </c>
      <c r="D189" s="15">
        <f>IF(A189="","",B189-C189)</f>
        <v/>
      </c>
      <c r="E189" s="15">
        <f>IF(A189="","",MAX(0,E188-D189))</f>
        <v/>
      </c>
    </row>
    <row r="190">
      <c r="A190" s="14">
        <f>IF(179&gt;$B$6*12,"",179)</f>
        <v/>
      </c>
      <c r="B190" s="15">
        <f>IF(A190="","",$B$7)</f>
        <v/>
      </c>
      <c r="C190" s="15">
        <f>IF(A190="","",E189*$B$5/12)</f>
        <v/>
      </c>
      <c r="D190" s="15">
        <f>IF(A190="","",B190-C190)</f>
        <v/>
      </c>
      <c r="E190" s="15">
        <f>IF(A190="","",MAX(0,E189-D190))</f>
        <v/>
      </c>
    </row>
    <row r="191">
      <c r="A191" s="14">
        <f>IF(180&gt;$B$6*12,"",180)</f>
        <v/>
      </c>
      <c r="B191" s="15">
        <f>IF(A191="","",$B$7)</f>
        <v/>
      </c>
      <c r="C191" s="15">
        <f>IF(A191="","",E190*$B$5/12)</f>
        <v/>
      </c>
      <c r="D191" s="15">
        <f>IF(A191="","",B191-C191)</f>
        <v/>
      </c>
      <c r="E191" s="15">
        <f>IF(A191="","",MAX(0,E190-D191))</f>
        <v/>
      </c>
    </row>
    <row r="192">
      <c r="A192" s="14">
        <f>IF(181&gt;$B$6*12,"",181)</f>
        <v/>
      </c>
      <c r="B192" s="15">
        <f>IF(A192="","",$B$7)</f>
        <v/>
      </c>
      <c r="C192" s="15">
        <f>IF(A192="","",E191*$B$5/12)</f>
        <v/>
      </c>
      <c r="D192" s="15">
        <f>IF(A192="","",B192-C192)</f>
        <v/>
      </c>
      <c r="E192" s="15">
        <f>IF(A192="","",MAX(0,E191-D192))</f>
        <v/>
      </c>
    </row>
    <row r="193">
      <c r="A193" s="14">
        <f>IF(182&gt;$B$6*12,"",182)</f>
        <v/>
      </c>
      <c r="B193" s="15">
        <f>IF(A193="","",$B$7)</f>
        <v/>
      </c>
      <c r="C193" s="15">
        <f>IF(A193="","",E192*$B$5/12)</f>
        <v/>
      </c>
      <c r="D193" s="15">
        <f>IF(A193="","",B193-C193)</f>
        <v/>
      </c>
      <c r="E193" s="15">
        <f>IF(A193="","",MAX(0,E192-D193))</f>
        <v/>
      </c>
    </row>
    <row r="194">
      <c r="A194" s="14">
        <f>IF(183&gt;$B$6*12,"",183)</f>
        <v/>
      </c>
      <c r="B194" s="15">
        <f>IF(A194="","",$B$7)</f>
        <v/>
      </c>
      <c r="C194" s="15">
        <f>IF(A194="","",E193*$B$5/12)</f>
        <v/>
      </c>
      <c r="D194" s="15">
        <f>IF(A194="","",B194-C194)</f>
        <v/>
      </c>
      <c r="E194" s="15">
        <f>IF(A194="","",MAX(0,E193-D194))</f>
        <v/>
      </c>
    </row>
    <row r="195">
      <c r="A195" s="14">
        <f>IF(184&gt;$B$6*12,"",184)</f>
        <v/>
      </c>
      <c r="B195" s="15">
        <f>IF(A195="","",$B$7)</f>
        <v/>
      </c>
      <c r="C195" s="15">
        <f>IF(A195="","",E194*$B$5/12)</f>
        <v/>
      </c>
      <c r="D195" s="15">
        <f>IF(A195="","",B195-C195)</f>
        <v/>
      </c>
      <c r="E195" s="15">
        <f>IF(A195="","",MAX(0,E194-D195))</f>
        <v/>
      </c>
    </row>
    <row r="196">
      <c r="A196" s="14">
        <f>IF(185&gt;$B$6*12,"",185)</f>
        <v/>
      </c>
      <c r="B196" s="15">
        <f>IF(A196="","",$B$7)</f>
        <v/>
      </c>
      <c r="C196" s="15">
        <f>IF(A196="","",E195*$B$5/12)</f>
        <v/>
      </c>
      <c r="D196" s="15">
        <f>IF(A196="","",B196-C196)</f>
        <v/>
      </c>
      <c r="E196" s="15">
        <f>IF(A196="","",MAX(0,E195-D196))</f>
        <v/>
      </c>
    </row>
    <row r="197">
      <c r="A197" s="14">
        <f>IF(186&gt;$B$6*12,"",186)</f>
        <v/>
      </c>
      <c r="B197" s="15">
        <f>IF(A197="","",$B$7)</f>
        <v/>
      </c>
      <c r="C197" s="15">
        <f>IF(A197="","",E196*$B$5/12)</f>
        <v/>
      </c>
      <c r="D197" s="15">
        <f>IF(A197="","",B197-C197)</f>
        <v/>
      </c>
      <c r="E197" s="15">
        <f>IF(A197="","",MAX(0,E196-D197))</f>
        <v/>
      </c>
    </row>
    <row r="198">
      <c r="A198" s="14">
        <f>IF(187&gt;$B$6*12,"",187)</f>
        <v/>
      </c>
      <c r="B198" s="15">
        <f>IF(A198="","",$B$7)</f>
        <v/>
      </c>
      <c r="C198" s="15">
        <f>IF(A198="","",E197*$B$5/12)</f>
        <v/>
      </c>
      <c r="D198" s="15">
        <f>IF(A198="","",B198-C198)</f>
        <v/>
      </c>
      <c r="E198" s="15">
        <f>IF(A198="","",MAX(0,E197-D198))</f>
        <v/>
      </c>
    </row>
    <row r="199">
      <c r="A199" s="14">
        <f>IF(188&gt;$B$6*12,"",188)</f>
        <v/>
      </c>
      <c r="B199" s="15">
        <f>IF(A199="","",$B$7)</f>
        <v/>
      </c>
      <c r="C199" s="15">
        <f>IF(A199="","",E198*$B$5/12)</f>
        <v/>
      </c>
      <c r="D199" s="15">
        <f>IF(A199="","",B199-C199)</f>
        <v/>
      </c>
      <c r="E199" s="15">
        <f>IF(A199="","",MAX(0,E198-D199))</f>
        <v/>
      </c>
    </row>
    <row r="200">
      <c r="A200" s="14">
        <f>IF(189&gt;$B$6*12,"",189)</f>
        <v/>
      </c>
      <c r="B200" s="15">
        <f>IF(A200="","",$B$7)</f>
        <v/>
      </c>
      <c r="C200" s="15">
        <f>IF(A200="","",E199*$B$5/12)</f>
        <v/>
      </c>
      <c r="D200" s="15">
        <f>IF(A200="","",B200-C200)</f>
        <v/>
      </c>
      <c r="E200" s="15">
        <f>IF(A200="","",MAX(0,E199-D200))</f>
        <v/>
      </c>
    </row>
    <row r="201">
      <c r="A201" s="14">
        <f>IF(190&gt;$B$6*12,"",190)</f>
        <v/>
      </c>
      <c r="B201" s="15">
        <f>IF(A201="","",$B$7)</f>
        <v/>
      </c>
      <c r="C201" s="15">
        <f>IF(A201="","",E200*$B$5/12)</f>
        <v/>
      </c>
      <c r="D201" s="15">
        <f>IF(A201="","",B201-C201)</f>
        <v/>
      </c>
      <c r="E201" s="15">
        <f>IF(A201="","",MAX(0,E200-D201))</f>
        <v/>
      </c>
    </row>
    <row r="202">
      <c r="A202" s="14">
        <f>IF(191&gt;$B$6*12,"",191)</f>
        <v/>
      </c>
      <c r="B202" s="15">
        <f>IF(A202="","",$B$7)</f>
        <v/>
      </c>
      <c r="C202" s="15">
        <f>IF(A202="","",E201*$B$5/12)</f>
        <v/>
      </c>
      <c r="D202" s="15">
        <f>IF(A202="","",B202-C202)</f>
        <v/>
      </c>
      <c r="E202" s="15">
        <f>IF(A202="","",MAX(0,E201-D202))</f>
        <v/>
      </c>
    </row>
    <row r="203">
      <c r="A203" s="14">
        <f>IF(192&gt;$B$6*12,"",192)</f>
        <v/>
      </c>
      <c r="B203" s="15">
        <f>IF(A203="","",$B$7)</f>
        <v/>
      </c>
      <c r="C203" s="15">
        <f>IF(A203="","",E202*$B$5/12)</f>
        <v/>
      </c>
      <c r="D203" s="15">
        <f>IF(A203="","",B203-C203)</f>
        <v/>
      </c>
      <c r="E203" s="15">
        <f>IF(A203="","",MAX(0,E202-D203))</f>
        <v/>
      </c>
    </row>
    <row r="204">
      <c r="A204" s="14">
        <f>IF(193&gt;$B$6*12,"",193)</f>
        <v/>
      </c>
      <c r="B204" s="15">
        <f>IF(A204="","",$B$7)</f>
        <v/>
      </c>
      <c r="C204" s="15">
        <f>IF(A204="","",E203*$B$5/12)</f>
        <v/>
      </c>
      <c r="D204" s="15">
        <f>IF(A204="","",B204-C204)</f>
        <v/>
      </c>
      <c r="E204" s="15">
        <f>IF(A204="","",MAX(0,E203-D204))</f>
        <v/>
      </c>
    </row>
    <row r="205">
      <c r="A205" s="14">
        <f>IF(194&gt;$B$6*12,"",194)</f>
        <v/>
      </c>
      <c r="B205" s="15">
        <f>IF(A205="","",$B$7)</f>
        <v/>
      </c>
      <c r="C205" s="15">
        <f>IF(A205="","",E204*$B$5/12)</f>
        <v/>
      </c>
      <c r="D205" s="15">
        <f>IF(A205="","",B205-C205)</f>
        <v/>
      </c>
      <c r="E205" s="15">
        <f>IF(A205="","",MAX(0,E204-D205))</f>
        <v/>
      </c>
    </row>
    <row r="206">
      <c r="A206" s="14">
        <f>IF(195&gt;$B$6*12,"",195)</f>
        <v/>
      </c>
      <c r="B206" s="15">
        <f>IF(A206="","",$B$7)</f>
        <v/>
      </c>
      <c r="C206" s="15">
        <f>IF(A206="","",E205*$B$5/12)</f>
        <v/>
      </c>
      <c r="D206" s="15">
        <f>IF(A206="","",B206-C206)</f>
        <v/>
      </c>
      <c r="E206" s="15">
        <f>IF(A206="","",MAX(0,E205-D206))</f>
        <v/>
      </c>
    </row>
    <row r="207">
      <c r="A207" s="14">
        <f>IF(196&gt;$B$6*12,"",196)</f>
        <v/>
      </c>
      <c r="B207" s="15">
        <f>IF(A207="","",$B$7)</f>
        <v/>
      </c>
      <c r="C207" s="15">
        <f>IF(A207="","",E206*$B$5/12)</f>
        <v/>
      </c>
      <c r="D207" s="15">
        <f>IF(A207="","",B207-C207)</f>
        <v/>
      </c>
      <c r="E207" s="15">
        <f>IF(A207="","",MAX(0,E206-D207))</f>
        <v/>
      </c>
    </row>
    <row r="208">
      <c r="A208" s="14">
        <f>IF(197&gt;$B$6*12,"",197)</f>
        <v/>
      </c>
      <c r="B208" s="15">
        <f>IF(A208="","",$B$7)</f>
        <v/>
      </c>
      <c r="C208" s="15">
        <f>IF(A208="","",E207*$B$5/12)</f>
        <v/>
      </c>
      <c r="D208" s="15">
        <f>IF(A208="","",B208-C208)</f>
        <v/>
      </c>
      <c r="E208" s="15">
        <f>IF(A208="","",MAX(0,E207-D208))</f>
        <v/>
      </c>
    </row>
    <row r="209">
      <c r="A209" s="14">
        <f>IF(198&gt;$B$6*12,"",198)</f>
        <v/>
      </c>
      <c r="B209" s="15">
        <f>IF(A209="","",$B$7)</f>
        <v/>
      </c>
      <c r="C209" s="15">
        <f>IF(A209="","",E208*$B$5/12)</f>
        <v/>
      </c>
      <c r="D209" s="15">
        <f>IF(A209="","",B209-C209)</f>
        <v/>
      </c>
      <c r="E209" s="15">
        <f>IF(A209="","",MAX(0,E208-D209))</f>
        <v/>
      </c>
    </row>
    <row r="210">
      <c r="A210" s="14">
        <f>IF(199&gt;$B$6*12,"",199)</f>
        <v/>
      </c>
      <c r="B210" s="15">
        <f>IF(A210="","",$B$7)</f>
        <v/>
      </c>
      <c r="C210" s="15">
        <f>IF(A210="","",E209*$B$5/12)</f>
        <v/>
      </c>
      <c r="D210" s="15">
        <f>IF(A210="","",B210-C210)</f>
        <v/>
      </c>
      <c r="E210" s="15">
        <f>IF(A210="","",MAX(0,E209-D210))</f>
        <v/>
      </c>
    </row>
    <row r="211">
      <c r="A211" s="14">
        <f>IF(200&gt;$B$6*12,"",200)</f>
        <v/>
      </c>
      <c r="B211" s="15">
        <f>IF(A211="","",$B$7)</f>
        <v/>
      </c>
      <c r="C211" s="15">
        <f>IF(A211="","",E210*$B$5/12)</f>
        <v/>
      </c>
      <c r="D211" s="15">
        <f>IF(A211="","",B211-C211)</f>
        <v/>
      </c>
      <c r="E211" s="15">
        <f>IF(A211="","",MAX(0,E210-D211))</f>
        <v/>
      </c>
    </row>
    <row r="212">
      <c r="A212" s="14">
        <f>IF(201&gt;$B$6*12,"",201)</f>
        <v/>
      </c>
      <c r="B212" s="15">
        <f>IF(A212="","",$B$7)</f>
        <v/>
      </c>
      <c r="C212" s="15">
        <f>IF(A212="","",E211*$B$5/12)</f>
        <v/>
      </c>
      <c r="D212" s="15">
        <f>IF(A212="","",B212-C212)</f>
        <v/>
      </c>
      <c r="E212" s="15">
        <f>IF(A212="","",MAX(0,E211-D212))</f>
        <v/>
      </c>
    </row>
    <row r="213">
      <c r="A213" s="14">
        <f>IF(202&gt;$B$6*12,"",202)</f>
        <v/>
      </c>
      <c r="B213" s="15">
        <f>IF(A213="","",$B$7)</f>
        <v/>
      </c>
      <c r="C213" s="15">
        <f>IF(A213="","",E212*$B$5/12)</f>
        <v/>
      </c>
      <c r="D213" s="15">
        <f>IF(A213="","",B213-C213)</f>
        <v/>
      </c>
      <c r="E213" s="15">
        <f>IF(A213="","",MAX(0,E212-D213))</f>
        <v/>
      </c>
    </row>
    <row r="214">
      <c r="A214" s="14">
        <f>IF(203&gt;$B$6*12,"",203)</f>
        <v/>
      </c>
      <c r="B214" s="15">
        <f>IF(A214="","",$B$7)</f>
        <v/>
      </c>
      <c r="C214" s="15">
        <f>IF(A214="","",E213*$B$5/12)</f>
        <v/>
      </c>
      <c r="D214" s="15">
        <f>IF(A214="","",B214-C214)</f>
        <v/>
      </c>
      <c r="E214" s="15">
        <f>IF(A214="","",MAX(0,E213-D214))</f>
        <v/>
      </c>
    </row>
    <row r="215">
      <c r="A215" s="14">
        <f>IF(204&gt;$B$6*12,"",204)</f>
        <v/>
      </c>
      <c r="B215" s="15">
        <f>IF(A215="","",$B$7)</f>
        <v/>
      </c>
      <c r="C215" s="15">
        <f>IF(A215="","",E214*$B$5/12)</f>
        <v/>
      </c>
      <c r="D215" s="15">
        <f>IF(A215="","",B215-C215)</f>
        <v/>
      </c>
      <c r="E215" s="15">
        <f>IF(A215="","",MAX(0,E214-D215))</f>
        <v/>
      </c>
    </row>
    <row r="216">
      <c r="A216" s="14">
        <f>IF(205&gt;$B$6*12,"",205)</f>
        <v/>
      </c>
      <c r="B216" s="15">
        <f>IF(A216="","",$B$7)</f>
        <v/>
      </c>
      <c r="C216" s="15">
        <f>IF(A216="","",E215*$B$5/12)</f>
        <v/>
      </c>
      <c r="D216" s="15">
        <f>IF(A216="","",B216-C216)</f>
        <v/>
      </c>
      <c r="E216" s="15">
        <f>IF(A216="","",MAX(0,E215-D216))</f>
        <v/>
      </c>
    </row>
    <row r="217">
      <c r="A217" s="14">
        <f>IF(206&gt;$B$6*12,"",206)</f>
        <v/>
      </c>
      <c r="B217" s="15">
        <f>IF(A217="","",$B$7)</f>
        <v/>
      </c>
      <c r="C217" s="15">
        <f>IF(A217="","",E216*$B$5/12)</f>
        <v/>
      </c>
      <c r="D217" s="15">
        <f>IF(A217="","",B217-C217)</f>
        <v/>
      </c>
      <c r="E217" s="15">
        <f>IF(A217="","",MAX(0,E216-D217))</f>
        <v/>
      </c>
    </row>
    <row r="218">
      <c r="A218" s="14">
        <f>IF(207&gt;$B$6*12,"",207)</f>
        <v/>
      </c>
      <c r="B218" s="15">
        <f>IF(A218="","",$B$7)</f>
        <v/>
      </c>
      <c r="C218" s="15">
        <f>IF(A218="","",E217*$B$5/12)</f>
        <v/>
      </c>
      <c r="D218" s="15">
        <f>IF(A218="","",B218-C218)</f>
        <v/>
      </c>
      <c r="E218" s="15">
        <f>IF(A218="","",MAX(0,E217-D218))</f>
        <v/>
      </c>
    </row>
    <row r="219">
      <c r="A219" s="14">
        <f>IF(208&gt;$B$6*12,"",208)</f>
        <v/>
      </c>
      <c r="B219" s="15">
        <f>IF(A219="","",$B$7)</f>
        <v/>
      </c>
      <c r="C219" s="15">
        <f>IF(A219="","",E218*$B$5/12)</f>
        <v/>
      </c>
      <c r="D219" s="15">
        <f>IF(A219="","",B219-C219)</f>
        <v/>
      </c>
      <c r="E219" s="15">
        <f>IF(A219="","",MAX(0,E218-D219))</f>
        <v/>
      </c>
    </row>
    <row r="220">
      <c r="A220" s="14">
        <f>IF(209&gt;$B$6*12,"",209)</f>
        <v/>
      </c>
      <c r="B220" s="15">
        <f>IF(A220="","",$B$7)</f>
        <v/>
      </c>
      <c r="C220" s="15">
        <f>IF(A220="","",E219*$B$5/12)</f>
        <v/>
      </c>
      <c r="D220" s="15">
        <f>IF(A220="","",B220-C220)</f>
        <v/>
      </c>
      <c r="E220" s="15">
        <f>IF(A220="","",MAX(0,E219-D220))</f>
        <v/>
      </c>
    </row>
    <row r="221">
      <c r="A221" s="14">
        <f>IF(210&gt;$B$6*12,"",210)</f>
        <v/>
      </c>
      <c r="B221" s="15">
        <f>IF(A221="","",$B$7)</f>
        <v/>
      </c>
      <c r="C221" s="15">
        <f>IF(A221="","",E220*$B$5/12)</f>
        <v/>
      </c>
      <c r="D221" s="15">
        <f>IF(A221="","",B221-C221)</f>
        <v/>
      </c>
      <c r="E221" s="15">
        <f>IF(A221="","",MAX(0,E220-D221))</f>
        <v/>
      </c>
    </row>
    <row r="222">
      <c r="A222" s="14">
        <f>IF(211&gt;$B$6*12,"",211)</f>
        <v/>
      </c>
      <c r="B222" s="15">
        <f>IF(A222="","",$B$7)</f>
        <v/>
      </c>
      <c r="C222" s="15">
        <f>IF(A222="","",E221*$B$5/12)</f>
        <v/>
      </c>
      <c r="D222" s="15">
        <f>IF(A222="","",B222-C222)</f>
        <v/>
      </c>
      <c r="E222" s="15">
        <f>IF(A222="","",MAX(0,E221-D222))</f>
        <v/>
      </c>
    </row>
    <row r="223">
      <c r="A223" s="14">
        <f>IF(212&gt;$B$6*12,"",212)</f>
        <v/>
      </c>
      <c r="B223" s="15">
        <f>IF(A223="","",$B$7)</f>
        <v/>
      </c>
      <c r="C223" s="15">
        <f>IF(A223="","",E222*$B$5/12)</f>
        <v/>
      </c>
      <c r="D223" s="15">
        <f>IF(A223="","",B223-C223)</f>
        <v/>
      </c>
      <c r="E223" s="15">
        <f>IF(A223="","",MAX(0,E222-D223))</f>
        <v/>
      </c>
    </row>
    <row r="224">
      <c r="A224" s="14">
        <f>IF(213&gt;$B$6*12,"",213)</f>
        <v/>
      </c>
      <c r="B224" s="15">
        <f>IF(A224="","",$B$7)</f>
        <v/>
      </c>
      <c r="C224" s="15">
        <f>IF(A224="","",E223*$B$5/12)</f>
        <v/>
      </c>
      <c r="D224" s="15">
        <f>IF(A224="","",B224-C224)</f>
        <v/>
      </c>
      <c r="E224" s="15">
        <f>IF(A224="","",MAX(0,E223-D224))</f>
        <v/>
      </c>
    </row>
    <row r="225">
      <c r="A225" s="14">
        <f>IF(214&gt;$B$6*12,"",214)</f>
        <v/>
      </c>
      <c r="B225" s="15">
        <f>IF(A225="","",$B$7)</f>
        <v/>
      </c>
      <c r="C225" s="15">
        <f>IF(A225="","",E224*$B$5/12)</f>
        <v/>
      </c>
      <c r="D225" s="15">
        <f>IF(A225="","",B225-C225)</f>
        <v/>
      </c>
      <c r="E225" s="15">
        <f>IF(A225="","",MAX(0,E224-D225))</f>
        <v/>
      </c>
    </row>
    <row r="226">
      <c r="A226" s="14">
        <f>IF(215&gt;$B$6*12,"",215)</f>
        <v/>
      </c>
      <c r="B226" s="15">
        <f>IF(A226="","",$B$7)</f>
        <v/>
      </c>
      <c r="C226" s="15">
        <f>IF(A226="","",E225*$B$5/12)</f>
        <v/>
      </c>
      <c r="D226" s="15">
        <f>IF(A226="","",B226-C226)</f>
        <v/>
      </c>
      <c r="E226" s="15">
        <f>IF(A226="","",MAX(0,E225-D226))</f>
        <v/>
      </c>
    </row>
    <row r="227">
      <c r="A227" s="14">
        <f>IF(216&gt;$B$6*12,"",216)</f>
        <v/>
      </c>
      <c r="B227" s="15">
        <f>IF(A227="","",$B$7)</f>
        <v/>
      </c>
      <c r="C227" s="15">
        <f>IF(A227="","",E226*$B$5/12)</f>
        <v/>
      </c>
      <c r="D227" s="15">
        <f>IF(A227="","",B227-C227)</f>
        <v/>
      </c>
      <c r="E227" s="15">
        <f>IF(A227="","",MAX(0,E226-D227))</f>
        <v/>
      </c>
    </row>
    <row r="228">
      <c r="A228" s="14">
        <f>IF(217&gt;$B$6*12,"",217)</f>
        <v/>
      </c>
      <c r="B228" s="15">
        <f>IF(A228="","",$B$7)</f>
        <v/>
      </c>
      <c r="C228" s="15">
        <f>IF(A228="","",E227*$B$5/12)</f>
        <v/>
      </c>
      <c r="D228" s="15">
        <f>IF(A228="","",B228-C228)</f>
        <v/>
      </c>
      <c r="E228" s="15">
        <f>IF(A228="","",MAX(0,E227-D228))</f>
        <v/>
      </c>
    </row>
    <row r="229">
      <c r="A229" s="14">
        <f>IF(218&gt;$B$6*12,"",218)</f>
        <v/>
      </c>
      <c r="B229" s="15">
        <f>IF(A229="","",$B$7)</f>
        <v/>
      </c>
      <c r="C229" s="15">
        <f>IF(A229="","",E228*$B$5/12)</f>
        <v/>
      </c>
      <c r="D229" s="15">
        <f>IF(A229="","",B229-C229)</f>
        <v/>
      </c>
      <c r="E229" s="15">
        <f>IF(A229="","",MAX(0,E228-D229))</f>
        <v/>
      </c>
    </row>
    <row r="230">
      <c r="A230" s="14">
        <f>IF(219&gt;$B$6*12,"",219)</f>
        <v/>
      </c>
      <c r="B230" s="15">
        <f>IF(A230="","",$B$7)</f>
        <v/>
      </c>
      <c r="C230" s="15">
        <f>IF(A230="","",E229*$B$5/12)</f>
        <v/>
      </c>
      <c r="D230" s="15">
        <f>IF(A230="","",B230-C230)</f>
        <v/>
      </c>
      <c r="E230" s="15">
        <f>IF(A230="","",MAX(0,E229-D230))</f>
        <v/>
      </c>
    </row>
    <row r="231">
      <c r="A231" s="14">
        <f>IF(220&gt;$B$6*12,"",220)</f>
        <v/>
      </c>
      <c r="B231" s="15">
        <f>IF(A231="","",$B$7)</f>
        <v/>
      </c>
      <c r="C231" s="15">
        <f>IF(A231="","",E230*$B$5/12)</f>
        <v/>
      </c>
      <c r="D231" s="15">
        <f>IF(A231="","",B231-C231)</f>
        <v/>
      </c>
      <c r="E231" s="15">
        <f>IF(A231="","",MAX(0,E230-D231))</f>
        <v/>
      </c>
    </row>
    <row r="232">
      <c r="A232" s="14">
        <f>IF(221&gt;$B$6*12,"",221)</f>
        <v/>
      </c>
      <c r="B232" s="15">
        <f>IF(A232="","",$B$7)</f>
        <v/>
      </c>
      <c r="C232" s="15">
        <f>IF(A232="","",E231*$B$5/12)</f>
        <v/>
      </c>
      <c r="D232" s="15">
        <f>IF(A232="","",B232-C232)</f>
        <v/>
      </c>
      <c r="E232" s="15">
        <f>IF(A232="","",MAX(0,E231-D232))</f>
        <v/>
      </c>
    </row>
    <row r="233">
      <c r="A233" s="14">
        <f>IF(222&gt;$B$6*12,"",222)</f>
        <v/>
      </c>
      <c r="B233" s="15">
        <f>IF(A233="","",$B$7)</f>
        <v/>
      </c>
      <c r="C233" s="15">
        <f>IF(A233="","",E232*$B$5/12)</f>
        <v/>
      </c>
      <c r="D233" s="15">
        <f>IF(A233="","",B233-C233)</f>
        <v/>
      </c>
      <c r="E233" s="15">
        <f>IF(A233="","",MAX(0,E232-D233))</f>
        <v/>
      </c>
    </row>
    <row r="234">
      <c r="A234" s="14">
        <f>IF(223&gt;$B$6*12,"",223)</f>
        <v/>
      </c>
      <c r="B234" s="15">
        <f>IF(A234="","",$B$7)</f>
        <v/>
      </c>
      <c r="C234" s="15">
        <f>IF(A234="","",E233*$B$5/12)</f>
        <v/>
      </c>
      <c r="D234" s="15">
        <f>IF(A234="","",B234-C234)</f>
        <v/>
      </c>
      <c r="E234" s="15">
        <f>IF(A234="","",MAX(0,E233-D234))</f>
        <v/>
      </c>
    </row>
    <row r="235">
      <c r="A235" s="14">
        <f>IF(224&gt;$B$6*12,"",224)</f>
        <v/>
      </c>
      <c r="B235" s="15">
        <f>IF(A235="","",$B$7)</f>
        <v/>
      </c>
      <c r="C235" s="15">
        <f>IF(A235="","",E234*$B$5/12)</f>
        <v/>
      </c>
      <c r="D235" s="15">
        <f>IF(A235="","",B235-C235)</f>
        <v/>
      </c>
      <c r="E235" s="15">
        <f>IF(A235="","",MAX(0,E234-D235))</f>
        <v/>
      </c>
    </row>
    <row r="236">
      <c r="A236" s="14">
        <f>IF(225&gt;$B$6*12,"",225)</f>
        <v/>
      </c>
      <c r="B236" s="15">
        <f>IF(A236="","",$B$7)</f>
        <v/>
      </c>
      <c r="C236" s="15">
        <f>IF(A236="","",E235*$B$5/12)</f>
        <v/>
      </c>
      <c r="D236" s="15">
        <f>IF(A236="","",B236-C236)</f>
        <v/>
      </c>
      <c r="E236" s="15">
        <f>IF(A236="","",MAX(0,E235-D236))</f>
        <v/>
      </c>
    </row>
    <row r="237">
      <c r="A237" s="14">
        <f>IF(226&gt;$B$6*12,"",226)</f>
        <v/>
      </c>
      <c r="B237" s="15">
        <f>IF(A237="","",$B$7)</f>
        <v/>
      </c>
      <c r="C237" s="15">
        <f>IF(A237="","",E236*$B$5/12)</f>
        <v/>
      </c>
      <c r="D237" s="15">
        <f>IF(A237="","",B237-C237)</f>
        <v/>
      </c>
      <c r="E237" s="15">
        <f>IF(A237="","",MAX(0,E236-D237))</f>
        <v/>
      </c>
    </row>
    <row r="238">
      <c r="A238" s="14">
        <f>IF(227&gt;$B$6*12,"",227)</f>
        <v/>
      </c>
      <c r="B238" s="15">
        <f>IF(A238="","",$B$7)</f>
        <v/>
      </c>
      <c r="C238" s="15">
        <f>IF(A238="","",E237*$B$5/12)</f>
        <v/>
      </c>
      <c r="D238" s="15">
        <f>IF(A238="","",B238-C238)</f>
        <v/>
      </c>
      <c r="E238" s="15">
        <f>IF(A238="","",MAX(0,E237-D238))</f>
        <v/>
      </c>
    </row>
    <row r="239">
      <c r="A239" s="14">
        <f>IF(228&gt;$B$6*12,"",228)</f>
        <v/>
      </c>
      <c r="B239" s="15">
        <f>IF(A239="","",$B$7)</f>
        <v/>
      </c>
      <c r="C239" s="15">
        <f>IF(A239="","",E238*$B$5/12)</f>
        <v/>
      </c>
      <c r="D239" s="15">
        <f>IF(A239="","",B239-C239)</f>
        <v/>
      </c>
      <c r="E239" s="15">
        <f>IF(A239="","",MAX(0,E238-D239))</f>
        <v/>
      </c>
    </row>
    <row r="240">
      <c r="A240" s="14">
        <f>IF(229&gt;$B$6*12,"",229)</f>
        <v/>
      </c>
      <c r="B240" s="15">
        <f>IF(A240="","",$B$7)</f>
        <v/>
      </c>
      <c r="C240" s="15">
        <f>IF(A240="","",E239*$B$5/12)</f>
        <v/>
      </c>
      <c r="D240" s="15">
        <f>IF(A240="","",B240-C240)</f>
        <v/>
      </c>
      <c r="E240" s="15">
        <f>IF(A240="","",MAX(0,E239-D240))</f>
        <v/>
      </c>
    </row>
    <row r="241">
      <c r="A241" s="14">
        <f>IF(230&gt;$B$6*12,"",230)</f>
        <v/>
      </c>
      <c r="B241" s="15">
        <f>IF(A241="","",$B$7)</f>
        <v/>
      </c>
      <c r="C241" s="15">
        <f>IF(A241="","",E240*$B$5/12)</f>
        <v/>
      </c>
      <c r="D241" s="15">
        <f>IF(A241="","",B241-C241)</f>
        <v/>
      </c>
      <c r="E241" s="15">
        <f>IF(A241="","",MAX(0,E240-D241))</f>
        <v/>
      </c>
    </row>
    <row r="242">
      <c r="A242" s="14">
        <f>IF(231&gt;$B$6*12,"",231)</f>
        <v/>
      </c>
      <c r="B242" s="15">
        <f>IF(A242="","",$B$7)</f>
        <v/>
      </c>
      <c r="C242" s="15">
        <f>IF(A242="","",E241*$B$5/12)</f>
        <v/>
      </c>
      <c r="D242" s="15">
        <f>IF(A242="","",B242-C242)</f>
        <v/>
      </c>
      <c r="E242" s="15">
        <f>IF(A242="","",MAX(0,E241-D242))</f>
        <v/>
      </c>
    </row>
    <row r="243">
      <c r="A243" s="14">
        <f>IF(232&gt;$B$6*12,"",232)</f>
        <v/>
      </c>
      <c r="B243" s="15">
        <f>IF(A243="","",$B$7)</f>
        <v/>
      </c>
      <c r="C243" s="15">
        <f>IF(A243="","",E242*$B$5/12)</f>
        <v/>
      </c>
      <c r="D243" s="15">
        <f>IF(A243="","",B243-C243)</f>
        <v/>
      </c>
      <c r="E243" s="15">
        <f>IF(A243="","",MAX(0,E242-D243))</f>
        <v/>
      </c>
    </row>
    <row r="244">
      <c r="A244" s="14">
        <f>IF(233&gt;$B$6*12,"",233)</f>
        <v/>
      </c>
      <c r="B244" s="15">
        <f>IF(A244="","",$B$7)</f>
        <v/>
      </c>
      <c r="C244" s="15">
        <f>IF(A244="","",E243*$B$5/12)</f>
        <v/>
      </c>
      <c r="D244" s="15">
        <f>IF(A244="","",B244-C244)</f>
        <v/>
      </c>
      <c r="E244" s="15">
        <f>IF(A244="","",MAX(0,E243-D244))</f>
        <v/>
      </c>
    </row>
    <row r="245">
      <c r="A245" s="14">
        <f>IF(234&gt;$B$6*12,"",234)</f>
        <v/>
      </c>
      <c r="B245" s="15">
        <f>IF(A245="","",$B$7)</f>
        <v/>
      </c>
      <c r="C245" s="15">
        <f>IF(A245="","",E244*$B$5/12)</f>
        <v/>
      </c>
      <c r="D245" s="15">
        <f>IF(A245="","",B245-C245)</f>
        <v/>
      </c>
      <c r="E245" s="15">
        <f>IF(A245="","",MAX(0,E244-D245))</f>
        <v/>
      </c>
    </row>
    <row r="246">
      <c r="A246" s="14">
        <f>IF(235&gt;$B$6*12,"",235)</f>
        <v/>
      </c>
      <c r="B246" s="15">
        <f>IF(A246="","",$B$7)</f>
        <v/>
      </c>
      <c r="C246" s="15">
        <f>IF(A246="","",E245*$B$5/12)</f>
        <v/>
      </c>
      <c r="D246" s="15">
        <f>IF(A246="","",B246-C246)</f>
        <v/>
      </c>
      <c r="E246" s="15">
        <f>IF(A246="","",MAX(0,E245-D246))</f>
        <v/>
      </c>
    </row>
    <row r="247">
      <c r="A247" s="14">
        <f>IF(236&gt;$B$6*12,"",236)</f>
        <v/>
      </c>
      <c r="B247" s="15">
        <f>IF(A247="","",$B$7)</f>
        <v/>
      </c>
      <c r="C247" s="15">
        <f>IF(A247="","",E246*$B$5/12)</f>
        <v/>
      </c>
      <c r="D247" s="15">
        <f>IF(A247="","",B247-C247)</f>
        <v/>
      </c>
      <c r="E247" s="15">
        <f>IF(A247="","",MAX(0,E246-D247))</f>
        <v/>
      </c>
    </row>
    <row r="248">
      <c r="A248" s="14">
        <f>IF(237&gt;$B$6*12,"",237)</f>
        <v/>
      </c>
      <c r="B248" s="15">
        <f>IF(A248="","",$B$7)</f>
        <v/>
      </c>
      <c r="C248" s="15">
        <f>IF(A248="","",E247*$B$5/12)</f>
        <v/>
      </c>
      <c r="D248" s="15">
        <f>IF(A248="","",B248-C248)</f>
        <v/>
      </c>
      <c r="E248" s="15">
        <f>IF(A248="","",MAX(0,E247-D248))</f>
        <v/>
      </c>
    </row>
    <row r="249">
      <c r="A249" s="14">
        <f>IF(238&gt;$B$6*12,"",238)</f>
        <v/>
      </c>
      <c r="B249" s="15">
        <f>IF(A249="","",$B$7)</f>
        <v/>
      </c>
      <c r="C249" s="15">
        <f>IF(A249="","",E248*$B$5/12)</f>
        <v/>
      </c>
      <c r="D249" s="15">
        <f>IF(A249="","",B249-C249)</f>
        <v/>
      </c>
      <c r="E249" s="15">
        <f>IF(A249="","",MAX(0,E248-D249))</f>
        <v/>
      </c>
    </row>
    <row r="250">
      <c r="A250" s="14">
        <f>IF(239&gt;$B$6*12,"",239)</f>
        <v/>
      </c>
      <c r="B250" s="15">
        <f>IF(A250="","",$B$7)</f>
        <v/>
      </c>
      <c r="C250" s="15">
        <f>IF(A250="","",E249*$B$5/12)</f>
        <v/>
      </c>
      <c r="D250" s="15">
        <f>IF(A250="","",B250-C250)</f>
        <v/>
      </c>
      <c r="E250" s="15">
        <f>IF(A250="","",MAX(0,E249-D250))</f>
        <v/>
      </c>
    </row>
    <row r="251">
      <c r="A251" s="14">
        <f>IF(240&gt;$B$6*12,"",240)</f>
        <v/>
      </c>
      <c r="B251" s="15">
        <f>IF(A251="","",$B$7)</f>
        <v/>
      </c>
      <c r="C251" s="15">
        <f>IF(A251="","",E250*$B$5/12)</f>
        <v/>
      </c>
      <c r="D251" s="15">
        <f>IF(A251="","",B251-C251)</f>
        <v/>
      </c>
      <c r="E251" s="15">
        <f>IF(A251="","",MAX(0,E250-D251))</f>
        <v/>
      </c>
    </row>
    <row r="252">
      <c r="A252" s="14">
        <f>IF(241&gt;$B$6*12,"",241)</f>
        <v/>
      </c>
      <c r="B252" s="15">
        <f>IF(A252="","",$B$7)</f>
        <v/>
      </c>
      <c r="C252" s="15">
        <f>IF(A252="","",E251*$B$5/12)</f>
        <v/>
      </c>
      <c r="D252" s="15">
        <f>IF(A252="","",B252-C252)</f>
        <v/>
      </c>
      <c r="E252" s="15">
        <f>IF(A252="","",MAX(0,E251-D252))</f>
        <v/>
      </c>
    </row>
    <row r="253">
      <c r="A253" s="14">
        <f>IF(242&gt;$B$6*12,"",242)</f>
        <v/>
      </c>
      <c r="B253" s="15">
        <f>IF(A253="","",$B$7)</f>
        <v/>
      </c>
      <c r="C253" s="15">
        <f>IF(A253="","",E252*$B$5/12)</f>
        <v/>
      </c>
      <c r="D253" s="15">
        <f>IF(A253="","",B253-C253)</f>
        <v/>
      </c>
      <c r="E253" s="15">
        <f>IF(A253="","",MAX(0,E252-D253))</f>
        <v/>
      </c>
    </row>
    <row r="254">
      <c r="A254" s="14">
        <f>IF(243&gt;$B$6*12,"",243)</f>
        <v/>
      </c>
      <c r="B254" s="15">
        <f>IF(A254="","",$B$7)</f>
        <v/>
      </c>
      <c r="C254" s="15">
        <f>IF(A254="","",E253*$B$5/12)</f>
        <v/>
      </c>
      <c r="D254" s="15">
        <f>IF(A254="","",B254-C254)</f>
        <v/>
      </c>
      <c r="E254" s="15">
        <f>IF(A254="","",MAX(0,E253-D254))</f>
        <v/>
      </c>
    </row>
    <row r="255">
      <c r="A255" s="14">
        <f>IF(244&gt;$B$6*12,"",244)</f>
        <v/>
      </c>
      <c r="B255" s="15">
        <f>IF(A255="","",$B$7)</f>
        <v/>
      </c>
      <c r="C255" s="15">
        <f>IF(A255="","",E254*$B$5/12)</f>
        <v/>
      </c>
      <c r="D255" s="15">
        <f>IF(A255="","",B255-C255)</f>
        <v/>
      </c>
      <c r="E255" s="15">
        <f>IF(A255="","",MAX(0,E254-D255))</f>
        <v/>
      </c>
    </row>
    <row r="256">
      <c r="A256" s="14">
        <f>IF(245&gt;$B$6*12,"",245)</f>
        <v/>
      </c>
      <c r="B256" s="15">
        <f>IF(A256="","",$B$7)</f>
        <v/>
      </c>
      <c r="C256" s="15">
        <f>IF(A256="","",E255*$B$5/12)</f>
        <v/>
      </c>
      <c r="D256" s="15">
        <f>IF(A256="","",B256-C256)</f>
        <v/>
      </c>
      <c r="E256" s="15">
        <f>IF(A256="","",MAX(0,E255-D256))</f>
        <v/>
      </c>
    </row>
    <row r="257">
      <c r="A257" s="14">
        <f>IF(246&gt;$B$6*12,"",246)</f>
        <v/>
      </c>
      <c r="B257" s="15">
        <f>IF(A257="","",$B$7)</f>
        <v/>
      </c>
      <c r="C257" s="15">
        <f>IF(A257="","",E256*$B$5/12)</f>
        <v/>
      </c>
      <c r="D257" s="15">
        <f>IF(A257="","",B257-C257)</f>
        <v/>
      </c>
      <c r="E257" s="15">
        <f>IF(A257="","",MAX(0,E256-D257))</f>
        <v/>
      </c>
    </row>
    <row r="258">
      <c r="A258" s="14">
        <f>IF(247&gt;$B$6*12,"",247)</f>
        <v/>
      </c>
      <c r="B258" s="15">
        <f>IF(A258="","",$B$7)</f>
        <v/>
      </c>
      <c r="C258" s="15">
        <f>IF(A258="","",E257*$B$5/12)</f>
        <v/>
      </c>
      <c r="D258" s="15">
        <f>IF(A258="","",B258-C258)</f>
        <v/>
      </c>
      <c r="E258" s="15">
        <f>IF(A258="","",MAX(0,E257-D258))</f>
        <v/>
      </c>
    </row>
    <row r="259">
      <c r="A259" s="14">
        <f>IF(248&gt;$B$6*12,"",248)</f>
        <v/>
      </c>
      <c r="B259" s="15">
        <f>IF(A259="","",$B$7)</f>
        <v/>
      </c>
      <c r="C259" s="15">
        <f>IF(A259="","",E258*$B$5/12)</f>
        <v/>
      </c>
      <c r="D259" s="15">
        <f>IF(A259="","",B259-C259)</f>
        <v/>
      </c>
      <c r="E259" s="15">
        <f>IF(A259="","",MAX(0,E258-D259))</f>
        <v/>
      </c>
    </row>
    <row r="260">
      <c r="A260" s="14">
        <f>IF(249&gt;$B$6*12,"",249)</f>
        <v/>
      </c>
      <c r="B260" s="15">
        <f>IF(A260="","",$B$7)</f>
        <v/>
      </c>
      <c r="C260" s="15">
        <f>IF(A260="","",E259*$B$5/12)</f>
        <v/>
      </c>
      <c r="D260" s="15">
        <f>IF(A260="","",B260-C260)</f>
        <v/>
      </c>
      <c r="E260" s="15">
        <f>IF(A260="","",MAX(0,E259-D260))</f>
        <v/>
      </c>
    </row>
    <row r="261">
      <c r="A261" s="14">
        <f>IF(250&gt;$B$6*12,"",250)</f>
        <v/>
      </c>
      <c r="B261" s="15">
        <f>IF(A261="","",$B$7)</f>
        <v/>
      </c>
      <c r="C261" s="15">
        <f>IF(A261="","",E260*$B$5/12)</f>
        <v/>
      </c>
      <c r="D261" s="15">
        <f>IF(A261="","",B261-C261)</f>
        <v/>
      </c>
      <c r="E261" s="15">
        <f>IF(A261="","",MAX(0,E260-D261))</f>
        <v/>
      </c>
    </row>
    <row r="262">
      <c r="A262" s="14">
        <f>IF(251&gt;$B$6*12,"",251)</f>
        <v/>
      </c>
      <c r="B262" s="15">
        <f>IF(A262="","",$B$7)</f>
        <v/>
      </c>
      <c r="C262" s="15">
        <f>IF(A262="","",E261*$B$5/12)</f>
        <v/>
      </c>
      <c r="D262" s="15">
        <f>IF(A262="","",B262-C262)</f>
        <v/>
      </c>
      <c r="E262" s="15">
        <f>IF(A262="","",MAX(0,E261-D262))</f>
        <v/>
      </c>
    </row>
    <row r="263">
      <c r="A263" s="14">
        <f>IF(252&gt;$B$6*12,"",252)</f>
        <v/>
      </c>
      <c r="B263" s="15">
        <f>IF(A263="","",$B$7)</f>
        <v/>
      </c>
      <c r="C263" s="15">
        <f>IF(A263="","",E262*$B$5/12)</f>
        <v/>
      </c>
      <c r="D263" s="15">
        <f>IF(A263="","",B263-C263)</f>
        <v/>
      </c>
      <c r="E263" s="15">
        <f>IF(A263="","",MAX(0,E262-D263))</f>
        <v/>
      </c>
    </row>
    <row r="264">
      <c r="A264" s="14">
        <f>IF(253&gt;$B$6*12,"",253)</f>
        <v/>
      </c>
      <c r="B264" s="15">
        <f>IF(A264="","",$B$7)</f>
        <v/>
      </c>
      <c r="C264" s="15">
        <f>IF(A264="","",E263*$B$5/12)</f>
        <v/>
      </c>
      <c r="D264" s="15">
        <f>IF(A264="","",B264-C264)</f>
        <v/>
      </c>
      <c r="E264" s="15">
        <f>IF(A264="","",MAX(0,E263-D264))</f>
        <v/>
      </c>
    </row>
    <row r="265">
      <c r="A265" s="14">
        <f>IF(254&gt;$B$6*12,"",254)</f>
        <v/>
      </c>
      <c r="B265" s="15">
        <f>IF(A265="","",$B$7)</f>
        <v/>
      </c>
      <c r="C265" s="15">
        <f>IF(A265="","",E264*$B$5/12)</f>
        <v/>
      </c>
      <c r="D265" s="15">
        <f>IF(A265="","",B265-C265)</f>
        <v/>
      </c>
      <c r="E265" s="15">
        <f>IF(A265="","",MAX(0,E264-D265))</f>
        <v/>
      </c>
    </row>
    <row r="266">
      <c r="A266" s="14">
        <f>IF(255&gt;$B$6*12,"",255)</f>
        <v/>
      </c>
      <c r="B266" s="15">
        <f>IF(A266="","",$B$7)</f>
        <v/>
      </c>
      <c r="C266" s="15">
        <f>IF(A266="","",E265*$B$5/12)</f>
        <v/>
      </c>
      <c r="D266" s="15">
        <f>IF(A266="","",B266-C266)</f>
        <v/>
      </c>
      <c r="E266" s="15">
        <f>IF(A266="","",MAX(0,E265-D266))</f>
        <v/>
      </c>
    </row>
    <row r="267">
      <c r="A267" s="14">
        <f>IF(256&gt;$B$6*12,"",256)</f>
        <v/>
      </c>
      <c r="B267" s="15">
        <f>IF(A267="","",$B$7)</f>
        <v/>
      </c>
      <c r="C267" s="15">
        <f>IF(A267="","",E266*$B$5/12)</f>
        <v/>
      </c>
      <c r="D267" s="15">
        <f>IF(A267="","",B267-C267)</f>
        <v/>
      </c>
      <c r="E267" s="15">
        <f>IF(A267="","",MAX(0,E266-D267))</f>
        <v/>
      </c>
    </row>
    <row r="268">
      <c r="A268" s="14">
        <f>IF(257&gt;$B$6*12,"",257)</f>
        <v/>
      </c>
      <c r="B268" s="15">
        <f>IF(A268="","",$B$7)</f>
        <v/>
      </c>
      <c r="C268" s="15">
        <f>IF(A268="","",E267*$B$5/12)</f>
        <v/>
      </c>
      <c r="D268" s="15">
        <f>IF(A268="","",B268-C268)</f>
        <v/>
      </c>
      <c r="E268" s="15">
        <f>IF(A268="","",MAX(0,E267-D268))</f>
        <v/>
      </c>
    </row>
    <row r="269">
      <c r="A269" s="14">
        <f>IF(258&gt;$B$6*12,"",258)</f>
        <v/>
      </c>
      <c r="B269" s="15">
        <f>IF(A269="","",$B$7)</f>
        <v/>
      </c>
      <c r="C269" s="15">
        <f>IF(A269="","",E268*$B$5/12)</f>
        <v/>
      </c>
      <c r="D269" s="15">
        <f>IF(A269="","",B269-C269)</f>
        <v/>
      </c>
      <c r="E269" s="15">
        <f>IF(A269="","",MAX(0,E268-D269))</f>
        <v/>
      </c>
    </row>
    <row r="270">
      <c r="A270" s="14">
        <f>IF(259&gt;$B$6*12,"",259)</f>
        <v/>
      </c>
      <c r="B270" s="15">
        <f>IF(A270="","",$B$7)</f>
        <v/>
      </c>
      <c r="C270" s="15">
        <f>IF(A270="","",E269*$B$5/12)</f>
        <v/>
      </c>
      <c r="D270" s="15">
        <f>IF(A270="","",B270-C270)</f>
        <v/>
      </c>
      <c r="E270" s="15">
        <f>IF(A270="","",MAX(0,E269-D270))</f>
        <v/>
      </c>
    </row>
    <row r="271">
      <c r="A271" s="14">
        <f>IF(260&gt;$B$6*12,"",260)</f>
        <v/>
      </c>
      <c r="B271" s="15">
        <f>IF(A271="","",$B$7)</f>
        <v/>
      </c>
      <c r="C271" s="15">
        <f>IF(A271="","",E270*$B$5/12)</f>
        <v/>
      </c>
      <c r="D271" s="15">
        <f>IF(A271="","",B271-C271)</f>
        <v/>
      </c>
      <c r="E271" s="15">
        <f>IF(A271="","",MAX(0,E270-D271))</f>
        <v/>
      </c>
    </row>
    <row r="272">
      <c r="A272" s="14">
        <f>IF(261&gt;$B$6*12,"",261)</f>
        <v/>
      </c>
      <c r="B272" s="15">
        <f>IF(A272="","",$B$7)</f>
        <v/>
      </c>
      <c r="C272" s="15">
        <f>IF(A272="","",E271*$B$5/12)</f>
        <v/>
      </c>
      <c r="D272" s="15">
        <f>IF(A272="","",B272-C272)</f>
        <v/>
      </c>
      <c r="E272" s="15">
        <f>IF(A272="","",MAX(0,E271-D272))</f>
        <v/>
      </c>
    </row>
    <row r="273">
      <c r="A273" s="14">
        <f>IF(262&gt;$B$6*12,"",262)</f>
        <v/>
      </c>
      <c r="B273" s="15">
        <f>IF(A273="","",$B$7)</f>
        <v/>
      </c>
      <c r="C273" s="15">
        <f>IF(A273="","",E272*$B$5/12)</f>
        <v/>
      </c>
      <c r="D273" s="15">
        <f>IF(A273="","",B273-C273)</f>
        <v/>
      </c>
      <c r="E273" s="15">
        <f>IF(A273="","",MAX(0,E272-D273))</f>
        <v/>
      </c>
    </row>
    <row r="274">
      <c r="A274" s="14">
        <f>IF(263&gt;$B$6*12,"",263)</f>
        <v/>
      </c>
      <c r="B274" s="15">
        <f>IF(A274="","",$B$7)</f>
        <v/>
      </c>
      <c r="C274" s="15">
        <f>IF(A274="","",E273*$B$5/12)</f>
        <v/>
      </c>
      <c r="D274" s="15">
        <f>IF(A274="","",B274-C274)</f>
        <v/>
      </c>
      <c r="E274" s="15">
        <f>IF(A274="","",MAX(0,E273-D274))</f>
        <v/>
      </c>
    </row>
    <row r="275">
      <c r="A275" s="14">
        <f>IF(264&gt;$B$6*12,"",264)</f>
        <v/>
      </c>
      <c r="B275" s="15">
        <f>IF(A275="","",$B$7)</f>
        <v/>
      </c>
      <c r="C275" s="15">
        <f>IF(A275="","",E274*$B$5/12)</f>
        <v/>
      </c>
      <c r="D275" s="15">
        <f>IF(A275="","",B275-C275)</f>
        <v/>
      </c>
      <c r="E275" s="15">
        <f>IF(A275="","",MAX(0,E274-D275))</f>
        <v/>
      </c>
    </row>
    <row r="276">
      <c r="A276" s="14">
        <f>IF(265&gt;$B$6*12,"",265)</f>
        <v/>
      </c>
      <c r="B276" s="15">
        <f>IF(A276="","",$B$7)</f>
        <v/>
      </c>
      <c r="C276" s="15">
        <f>IF(A276="","",E275*$B$5/12)</f>
        <v/>
      </c>
      <c r="D276" s="15">
        <f>IF(A276="","",B276-C276)</f>
        <v/>
      </c>
      <c r="E276" s="15">
        <f>IF(A276="","",MAX(0,E275-D276))</f>
        <v/>
      </c>
    </row>
    <row r="277">
      <c r="A277" s="14">
        <f>IF(266&gt;$B$6*12,"",266)</f>
        <v/>
      </c>
      <c r="B277" s="15">
        <f>IF(A277="","",$B$7)</f>
        <v/>
      </c>
      <c r="C277" s="15">
        <f>IF(A277="","",E276*$B$5/12)</f>
        <v/>
      </c>
      <c r="D277" s="15">
        <f>IF(A277="","",B277-C277)</f>
        <v/>
      </c>
      <c r="E277" s="15">
        <f>IF(A277="","",MAX(0,E276-D277))</f>
        <v/>
      </c>
    </row>
    <row r="278">
      <c r="A278" s="14">
        <f>IF(267&gt;$B$6*12,"",267)</f>
        <v/>
      </c>
      <c r="B278" s="15">
        <f>IF(A278="","",$B$7)</f>
        <v/>
      </c>
      <c r="C278" s="15">
        <f>IF(A278="","",E277*$B$5/12)</f>
        <v/>
      </c>
      <c r="D278" s="15">
        <f>IF(A278="","",B278-C278)</f>
        <v/>
      </c>
      <c r="E278" s="15">
        <f>IF(A278="","",MAX(0,E277-D278))</f>
        <v/>
      </c>
    </row>
    <row r="279">
      <c r="A279" s="14">
        <f>IF(268&gt;$B$6*12,"",268)</f>
        <v/>
      </c>
      <c r="B279" s="15">
        <f>IF(A279="","",$B$7)</f>
        <v/>
      </c>
      <c r="C279" s="15">
        <f>IF(A279="","",E278*$B$5/12)</f>
        <v/>
      </c>
      <c r="D279" s="15">
        <f>IF(A279="","",B279-C279)</f>
        <v/>
      </c>
      <c r="E279" s="15">
        <f>IF(A279="","",MAX(0,E278-D279))</f>
        <v/>
      </c>
    </row>
    <row r="280">
      <c r="A280" s="14">
        <f>IF(269&gt;$B$6*12,"",269)</f>
        <v/>
      </c>
      <c r="B280" s="15">
        <f>IF(A280="","",$B$7)</f>
        <v/>
      </c>
      <c r="C280" s="15">
        <f>IF(A280="","",E279*$B$5/12)</f>
        <v/>
      </c>
      <c r="D280" s="15">
        <f>IF(A280="","",B280-C280)</f>
        <v/>
      </c>
      <c r="E280" s="15">
        <f>IF(A280="","",MAX(0,E279-D280))</f>
        <v/>
      </c>
    </row>
    <row r="281">
      <c r="A281" s="14">
        <f>IF(270&gt;$B$6*12,"",270)</f>
        <v/>
      </c>
      <c r="B281" s="15">
        <f>IF(A281="","",$B$7)</f>
        <v/>
      </c>
      <c r="C281" s="15">
        <f>IF(A281="","",E280*$B$5/12)</f>
        <v/>
      </c>
      <c r="D281" s="15">
        <f>IF(A281="","",B281-C281)</f>
        <v/>
      </c>
      <c r="E281" s="15">
        <f>IF(A281="","",MAX(0,E280-D281))</f>
        <v/>
      </c>
    </row>
    <row r="282">
      <c r="A282" s="14">
        <f>IF(271&gt;$B$6*12,"",271)</f>
        <v/>
      </c>
      <c r="B282" s="15">
        <f>IF(A282="","",$B$7)</f>
        <v/>
      </c>
      <c r="C282" s="15">
        <f>IF(A282="","",E281*$B$5/12)</f>
        <v/>
      </c>
      <c r="D282" s="15">
        <f>IF(A282="","",B282-C282)</f>
        <v/>
      </c>
      <c r="E282" s="15">
        <f>IF(A282="","",MAX(0,E281-D282))</f>
        <v/>
      </c>
    </row>
    <row r="283">
      <c r="A283" s="14">
        <f>IF(272&gt;$B$6*12,"",272)</f>
        <v/>
      </c>
      <c r="B283" s="15">
        <f>IF(A283="","",$B$7)</f>
        <v/>
      </c>
      <c r="C283" s="15">
        <f>IF(A283="","",E282*$B$5/12)</f>
        <v/>
      </c>
      <c r="D283" s="15">
        <f>IF(A283="","",B283-C283)</f>
        <v/>
      </c>
      <c r="E283" s="15">
        <f>IF(A283="","",MAX(0,E282-D283))</f>
        <v/>
      </c>
    </row>
    <row r="284">
      <c r="A284" s="14">
        <f>IF(273&gt;$B$6*12,"",273)</f>
        <v/>
      </c>
      <c r="B284" s="15">
        <f>IF(A284="","",$B$7)</f>
        <v/>
      </c>
      <c r="C284" s="15">
        <f>IF(A284="","",E283*$B$5/12)</f>
        <v/>
      </c>
      <c r="D284" s="15">
        <f>IF(A284="","",B284-C284)</f>
        <v/>
      </c>
      <c r="E284" s="15">
        <f>IF(A284="","",MAX(0,E283-D284))</f>
        <v/>
      </c>
    </row>
    <row r="285">
      <c r="A285" s="14">
        <f>IF(274&gt;$B$6*12,"",274)</f>
        <v/>
      </c>
      <c r="B285" s="15">
        <f>IF(A285="","",$B$7)</f>
        <v/>
      </c>
      <c r="C285" s="15">
        <f>IF(A285="","",E284*$B$5/12)</f>
        <v/>
      </c>
      <c r="D285" s="15">
        <f>IF(A285="","",B285-C285)</f>
        <v/>
      </c>
      <c r="E285" s="15">
        <f>IF(A285="","",MAX(0,E284-D285))</f>
        <v/>
      </c>
    </row>
    <row r="286">
      <c r="A286" s="14">
        <f>IF(275&gt;$B$6*12,"",275)</f>
        <v/>
      </c>
      <c r="B286" s="15">
        <f>IF(A286="","",$B$7)</f>
        <v/>
      </c>
      <c r="C286" s="15">
        <f>IF(A286="","",E285*$B$5/12)</f>
        <v/>
      </c>
      <c r="D286" s="15">
        <f>IF(A286="","",B286-C286)</f>
        <v/>
      </c>
      <c r="E286" s="15">
        <f>IF(A286="","",MAX(0,E285-D286))</f>
        <v/>
      </c>
    </row>
    <row r="287">
      <c r="A287" s="14">
        <f>IF(276&gt;$B$6*12,"",276)</f>
        <v/>
      </c>
      <c r="B287" s="15">
        <f>IF(A287="","",$B$7)</f>
        <v/>
      </c>
      <c r="C287" s="15">
        <f>IF(A287="","",E286*$B$5/12)</f>
        <v/>
      </c>
      <c r="D287" s="15">
        <f>IF(A287="","",B287-C287)</f>
        <v/>
      </c>
      <c r="E287" s="15">
        <f>IF(A287="","",MAX(0,E286-D287))</f>
        <v/>
      </c>
    </row>
    <row r="288">
      <c r="A288" s="14">
        <f>IF(277&gt;$B$6*12,"",277)</f>
        <v/>
      </c>
      <c r="B288" s="15">
        <f>IF(A288="","",$B$7)</f>
        <v/>
      </c>
      <c r="C288" s="15">
        <f>IF(A288="","",E287*$B$5/12)</f>
        <v/>
      </c>
      <c r="D288" s="15">
        <f>IF(A288="","",B288-C288)</f>
        <v/>
      </c>
      <c r="E288" s="15">
        <f>IF(A288="","",MAX(0,E287-D288))</f>
        <v/>
      </c>
    </row>
    <row r="289">
      <c r="A289" s="14">
        <f>IF(278&gt;$B$6*12,"",278)</f>
        <v/>
      </c>
      <c r="B289" s="15">
        <f>IF(A289="","",$B$7)</f>
        <v/>
      </c>
      <c r="C289" s="15">
        <f>IF(A289="","",E288*$B$5/12)</f>
        <v/>
      </c>
      <c r="D289" s="15">
        <f>IF(A289="","",B289-C289)</f>
        <v/>
      </c>
      <c r="E289" s="15">
        <f>IF(A289="","",MAX(0,E288-D289))</f>
        <v/>
      </c>
    </row>
    <row r="290">
      <c r="A290" s="14">
        <f>IF(279&gt;$B$6*12,"",279)</f>
        <v/>
      </c>
      <c r="B290" s="15">
        <f>IF(A290="","",$B$7)</f>
        <v/>
      </c>
      <c r="C290" s="15">
        <f>IF(A290="","",E289*$B$5/12)</f>
        <v/>
      </c>
      <c r="D290" s="15">
        <f>IF(A290="","",B290-C290)</f>
        <v/>
      </c>
      <c r="E290" s="15">
        <f>IF(A290="","",MAX(0,E289-D290))</f>
        <v/>
      </c>
    </row>
    <row r="291">
      <c r="A291" s="14">
        <f>IF(280&gt;$B$6*12,"",280)</f>
        <v/>
      </c>
      <c r="B291" s="15">
        <f>IF(A291="","",$B$7)</f>
        <v/>
      </c>
      <c r="C291" s="15">
        <f>IF(A291="","",E290*$B$5/12)</f>
        <v/>
      </c>
      <c r="D291" s="15">
        <f>IF(A291="","",B291-C291)</f>
        <v/>
      </c>
      <c r="E291" s="15">
        <f>IF(A291="","",MAX(0,E290-D291))</f>
        <v/>
      </c>
    </row>
    <row r="292">
      <c r="A292" s="14">
        <f>IF(281&gt;$B$6*12,"",281)</f>
        <v/>
      </c>
      <c r="B292" s="15">
        <f>IF(A292="","",$B$7)</f>
        <v/>
      </c>
      <c r="C292" s="15">
        <f>IF(A292="","",E291*$B$5/12)</f>
        <v/>
      </c>
      <c r="D292" s="15">
        <f>IF(A292="","",B292-C292)</f>
        <v/>
      </c>
      <c r="E292" s="15">
        <f>IF(A292="","",MAX(0,E291-D292))</f>
        <v/>
      </c>
    </row>
    <row r="293">
      <c r="A293" s="14">
        <f>IF(282&gt;$B$6*12,"",282)</f>
        <v/>
      </c>
      <c r="B293" s="15">
        <f>IF(A293="","",$B$7)</f>
        <v/>
      </c>
      <c r="C293" s="15">
        <f>IF(A293="","",E292*$B$5/12)</f>
        <v/>
      </c>
      <c r="D293" s="15">
        <f>IF(A293="","",B293-C293)</f>
        <v/>
      </c>
      <c r="E293" s="15">
        <f>IF(A293="","",MAX(0,E292-D293))</f>
        <v/>
      </c>
    </row>
    <row r="294">
      <c r="A294" s="14">
        <f>IF(283&gt;$B$6*12,"",283)</f>
        <v/>
      </c>
      <c r="B294" s="15">
        <f>IF(A294="","",$B$7)</f>
        <v/>
      </c>
      <c r="C294" s="15">
        <f>IF(A294="","",E293*$B$5/12)</f>
        <v/>
      </c>
      <c r="D294" s="15">
        <f>IF(A294="","",B294-C294)</f>
        <v/>
      </c>
      <c r="E294" s="15">
        <f>IF(A294="","",MAX(0,E293-D294))</f>
        <v/>
      </c>
    </row>
    <row r="295">
      <c r="A295" s="14">
        <f>IF(284&gt;$B$6*12,"",284)</f>
        <v/>
      </c>
      <c r="B295" s="15">
        <f>IF(A295="","",$B$7)</f>
        <v/>
      </c>
      <c r="C295" s="15">
        <f>IF(A295="","",E294*$B$5/12)</f>
        <v/>
      </c>
      <c r="D295" s="15">
        <f>IF(A295="","",B295-C295)</f>
        <v/>
      </c>
      <c r="E295" s="15">
        <f>IF(A295="","",MAX(0,E294-D295))</f>
        <v/>
      </c>
    </row>
    <row r="296">
      <c r="A296" s="14">
        <f>IF(285&gt;$B$6*12,"",285)</f>
        <v/>
      </c>
      <c r="B296" s="15">
        <f>IF(A296="","",$B$7)</f>
        <v/>
      </c>
      <c r="C296" s="15">
        <f>IF(A296="","",E295*$B$5/12)</f>
        <v/>
      </c>
      <c r="D296" s="15">
        <f>IF(A296="","",B296-C296)</f>
        <v/>
      </c>
      <c r="E296" s="15">
        <f>IF(A296="","",MAX(0,E295-D296))</f>
        <v/>
      </c>
    </row>
    <row r="297">
      <c r="A297" s="14">
        <f>IF(286&gt;$B$6*12,"",286)</f>
        <v/>
      </c>
      <c r="B297" s="15">
        <f>IF(A297="","",$B$7)</f>
        <v/>
      </c>
      <c r="C297" s="15">
        <f>IF(A297="","",E296*$B$5/12)</f>
        <v/>
      </c>
      <c r="D297" s="15">
        <f>IF(A297="","",B297-C297)</f>
        <v/>
      </c>
      <c r="E297" s="15">
        <f>IF(A297="","",MAX(0,E296-D297))</f>
        <v/>
      </c>
    </row>
    <row r="298">
      <c r="A298" s="14">
        <f>IF(287&gt;$B$6*12,"",287)</f>
        <v/>
      </c>
      <c r="B298" s="15">
        <f>IF(A298="","",$B$7)</f>
        <v/>
      </c>
      <c r="C298" s="15">
        <f>IF(A298="","",E297*$B$5/12)</f>
        <v/>
      </c>
      <c r="D298" s="15">
        <f>IF(A298="","",B298-C298)</f>
        <v/>
      </c>
      <c r="E298" s="15">
        <f>IF(A298="","",MAX(0,E297-D298))</f>
        <v/>
      </c>
    </row>
    <row r="299">
      <c r="A299" s="14">
        <f>IF(288&gt;$B$6*12,"",288)</f>
        <v/>
      </c>
      <c r="B299" s="15">
        <f>IF(A299="","",$B$7)</f>
        <v/>
      </c>
      <c r="C299" s="15">
        <f>IF(A299="","",E298*$B$5/12)</f>
        <v/>
      </c>
      <c r="D299" s="15">
        <f>IF(A299="","",B299-C299)</f>
        <v/>
      </c>
      <c r="E299" s="15">
        <f>IF(A299="","",MAX(0,E298-D299))</f>
        <v/>
      </c>
    </row>
    <row r="300">
      <c r="A300" s="14">
        <f>IF(289&gt;$B$6*12,"",289)</f>
        <v/>
      </c>
      <c r="B300" s="15">
        <f>IF(A300="","",$B$7)</f>
        <v/>
      </c>
      <c r="C300" s="15">
        <f>IF(A300="","",E299*$B$5/12)</f>
        <v/>
      </c>
      <c r="D300" s="15">
        <f>IF(A300="","",B300-C300)</f>
        <v/>
      </c>
      <c r="E300" s="15">
        <f>IF(A300="","",MAX(0,E299-D300))</f>
        <v/>
      </c>
    </row>
    <row r="301">
      <c r="A301" s="14">
        <f>IF(290&gt;$B$6*12,"",290)</f>
        <v/>
      </c>
      <c r="B301" s="15">
        <f>IF(A301="","",$B$7)</f>
        <v/>
      </c>
      <c r="C301" s="15">
        <f>IF(A301="","",E300*$B$5/12)</f>
        <v/>
      </c>
      <c r="D301" s="15">
        <f>IF(A301="","",B301-C301)</f>
        <v/>
      </c>
      <c r="E301" s="15">
        <f>IF(A301="","",MAX(0,E300-D301))</f>
        <v/>
      </c>
    </row>
    <row r="302">
      <c r="A302" s="14">
        <f>IF(291&gt;$B$6*12,"",291)</f>
        <v/>
      </c>
      <c r="B302" s="15">
        <f>IF(A302="","",$B$7)</f>
        <v/>
      </c>
      <c r="C302" s="15">
        <f>IF(A302="","",E301*$B$5/12)</f>
        <v/>
      </c>
      <c r="D302" s="15">
        <f>IF(A302="","",B302-C302)</f>
        <v/>
      </c>
      <c r="E302" s="15">
        <f>IF(A302="","",MAX(0,E301-D302))</f>
        <v/>
      </c>
    </row>
    <row r="303">
      <c r="A303" s="14">
        <f>IF(292&gt;$B$6*12,"",292)</f>
        <v/>
      </c>
      <c r="B303" s="15">
        <f>IF(A303="","",$B$7)</f>
        <v/>
      </c>
      <c r="C303" s="15">
        <f>IF(A303="","",E302*$B$5/12)</f>
        <v/>
      </c>
      <c r="D303" s="15">
        <f>IF(A303="","",B303-C303)</f>
        <v/>
      </c>
      <c r="E303" s="15">
        <f>IF(A303="","",MAX(0,E302-D303))</f>
        <v/>
      </c>
    </row>
    <row r="304">
      <c r="A304" s="14">
        <f>IF(293&gt;$B$6*12,"",293)</f>
        <v/>
      </c>
      <c r="B304" s="15">
        <f>IF(A304="","",$B$7)</f>
        <v/>
      </c>
      <c r="C304" s="15">
        <f>IF(A304="","",E303*$B$5/12)</f>
        <v/>
      </c>
      <c r="D304" s="15">
        <f>IF(A304="","",B304-C304)</f>
        <v/>
      </c>
      <c r="E304" s="15">
        <f>IF(A304="","",MAX(0,E303-D304))</f>
        <v/>
      </c>
    </row>
    <row r="305">
      <c r="A305" s="14">
        <f>IF(294&gt;$B$6*12,"",294)</f>
        <v/>
      </c>
      <c r="B305" s="15">
        <f>IF(A305="","",$B$7)</f>
        <v/>
      </c>
      <c r="C305" s="15">
        <f>IF(A305="","",E304*$B$5/12)</f>
        <v/>
      </c>
      <c r="D305" s="15">
        <f>IF(A305="","",B305-C305)</f>
        <v/>
      </c>
      <c r="E305" s="15">
        <f>IF(A305="","",MAX(0,E304-D305))</f>
        <v/>
      </c>
    </row>
    <row r="306">
      <c r="A306" s="14">
        <f>IF(295&gt;$B$6*12,"",295)</f>
        <v/>
      </c>
      <c r="B306" s="15">
        <f>IF(A306="","",$B$7)</f>
        <v/>
      </c>
      <c r="C306" s="15">
        <f>IF(A306="","",E305*$B$5/12)</f>
        <v/>
      </c>
      <c r="D306" s="15">
        <f>IF(A306="","",B306-C306)</f>
        <v/>
      </c>
      <c r="E306" s="15">
        <f>IF(A306="","",MAX(0,E305-D306))</f>
        <v/>
      </c>
    </row>
    <row r="307">
      <c r="A307" s="14">
        <f>IF(296&gt;$B$6*12,"",296)</f>
        <v/>
      </c>
      <c r="B307" s="15">
        <f>IF(A307="","",$B$7)</f>
        <v/>
      </c>
      <c r="C307" s="15">
        <f>IF(A307="","",E306*$B$5/12)</f>
        <v/>
      </c>
      <c r="D307" s="15">
        <f>IF(A307="","",B307-C307)</f>
        <v/>
      </c>
      <c r="E307" s="15">
        <f>IF(A307="","",MAX(0,E306-D307))</f>
        <v/>
      </c>
    </row>
    <row r="308">
      <c r="A308" s="14">
        <f>IF(297&gt;$B$6*12,"",297)</f>
        <v/>
      </c>
      <c r="B308" s="15">
        <f>IF(A308="","",$B$7)</f>
        <v/>
      </c>
      <c r="C308" s="15">
        <f>IF(A308="","",E307*$B$5/12)</f>
        <v/>
      </c>
      <c r="D308" s="15">
        <f>IF(A308="","",B308-C308)</f>
        <v/>
      </c>
      <c r="E308" s="15">
        <f>IF(A308="","",MAX(0,E307-D308))</f>
        <v/>
      </c>
    </row>
    <row r="309">
      <c r="A309" s="14">
        <f>IF(298&gt;$B$6*12,"",298)</f>
        <v/>
      </c>
      <c r="B309" s="15">
        <f>IF(A309="","",$B$7)</f>
        <v/>
      </c>
      <c r="C309" s="15">
        <f>IF(A309="","",E308*$B$5/12)</f>
        <v/>
      </c>
      <c r="D309" s="15">
        <f>IF(A309="","",B309-C309)</f>
        <v/>
      </c>
      <c r="E309" s="15">
        <f>IF(A309="","",MAX(0,E308-D309))</f>
        <v/>
      </c>
    </row>
    <row r="310">
      <c r="A310" s="14">
        <f>IF(299&gt;$B$6*12,"",299)</f>
        <v/>
      </c>
      <c r="B310" s="15">
        <f>IF(A310="","",$B$7)</f>
        <v/>
      </c>
      <c r="C310" s="15">
        <f>IF(A310="","",E309*$B$5/12)</f>
        <v/>
      </c>
      <c r="D310" s="15">
        <f>IF(A310="","",B310-C310)</f>
        <v/>
      </c>
      <c r="E310" s="15">
        <f>IF(A310="","",MAX(0,E309-D310))</f>
        <v/>
      </c>
    </row>
    <row r="311">
      <c r="A311" s="14">
        <f>IF(300&gt;$B$6*12,"",300)</f>
        <v/>
      </c>
      <c r="B311" s="15">
        <f>IF(A311="","",$B$7)</f>
        <v/>
      </c>
      <c r="C311" s="15">
        <f>IF(A311="","",E310*$B$5/12)</f>
        <v/>
      </c>
      <c r="D311" s="15">
        <f>IF(A311="","",B311-C311)</f>
        <v/>
      </c>
      <c r="E311" s="15">
        <f>IF(A311="","",MAX(0,E310-D311))</f>
        <v/>
      </c>
    </row>
    <row r="312">
      <c r="A312" s="14">
        <f>IF(301&gt;$B$6*12,"",301)</f>
        <v/>
      </c>
      <c r="B312" s="15">
        <f>IF(A312="","",$B$7)</f>
        <v/>
      </c>
      <c r="C312" s="15">
        <f>IF(A312="","",E311*$B$5/12)</f>
        <v/>
      </c>
      <c r="D312" s="15">
        <f>IF(A312="","",B312-C312)</f>
        <v/>
      </c>
      <c r="E312" s="15">
        <f>IF(A312="","",MAX(0,E311-D312))</f>
        <v/>
      </c>
    </row>
    <row r="313">
      <c r="A313" s="14">
        <f>IF(302&gt;$B$6*12,"",302)</f>
        <v/>
      </c>
      <c r="B313" s="15">
        <f>IF(A313="","",$B$7)</f>
        <v/>
      </c>
      <c r="C313" s="15">
        <f>IF(A313="","",E312*$B$5/12)</f>
        <v/>
      </c>
      <c r="D313" s="15">
        <f>IF(A313="","",B313-C313)</f>
        <v/>
      </c>
      <c r="E313" s="15">
        <f>IF(A313="","",MAX(0,E312-D313))</f>
        <v/>
      </c>
    </row>
    <row r="314">
      <c r="A314" s="14">
        <f>IF(303&gt;$B$6*12,"",303)</f>
        <v/>
      </c>
      <c r="B314" s="15">
        <f>IF(A314="","",$B$7)</f>
        <v/>
      </c>
      <c r="C314" s="15">
        <f>IF(A314="","",E313*$B$5/12)</f>
        <v/>
      </c>
      <c r="D314" s="15">
        <f>IF(A314="","",B314-C314)</f>
        <v/>
      </c>
      <c r="E314" s="15">
        <f>IF(A314="","",MAX(0,E313-D314))</f>
        <v/>
      </c>
    </row>
    <row r="315">
      <c r="A315" s="14">
        <f>IF(304&gt;$B$6*12,"",304)</f>
        <v/>
      </c>
      <c r="B315" s="15">
        <f>IF(A315="","",$B$7)</f>
        <v/>
      </c>
      <c r="C315" s="15">
        <f>IF(A315="","",E314*$B$5/12)</f>
        <v/>
      </c>
      <c r="D315" s="15">
        <f>IF(A315="","",B315-C315)</f>
        <v/>
      </c>
      <c r="E315" s="15">
        <f>IF(A315="","",MAX(0,E314-D315))</f>
        <v/>
      </c>
    </row>
    <row r="316">
      <c r="A316" s="14">
        <f>IF(305&gt;$B$6*12,"",305)</f>
        <v/>
      </c>
      <c r="B316" s="15">
        <f>IF(A316="","",$B$7)</f>
        <v/>
      </c>
      <c r="C316" s="15">
        <f>IF(A316="","",E315*$B$5/12)</f>
        <v/>
      </c>
      <c r="D316" s="15">
        <f>IF(A316="","",B316-C316)</f>
        <v/>
      </c>
      <c r="E316" s="15">
        <f>IF(A316="","",MAX(0,E315-D316))</f>
        <v/>
      </c>
    </row>
    <row r="317">
      <c r="A317" s="14">
        <f>IF(306&gt;$B$6*12,"",306)</f>
        <v/>
      </c>
      <c r="B317" s="15">
        <f>IF(A317="","",$B$7)</f>
        <v/>
      </c>
      <c r="C317" s="15">
        <f>IF(A317="","",E316*$B$5/12)</f>
        <v/>
      </c>
      <c r="D317" s="15">
        <f>IF(A317="","",B317-C317)</f>
        <v/>
      </c>
      <c r="E317" s="15">
        <f>IF(A317="","",MAX(0,E316-D317))</f>
        <v/>
      </c>
    </row>
    <row r="318">
      <c r="A318" s="14">
        <f>IF(307&gt;$B$6*12,"",307)</f>
        <v/>
      </c>
      <c r="B318" s="15">
        <f>IF(A318="","",$B$7)</f>
        <v/>
      </c>
      <c r="C318" s="15">
        <f>IF(A318="","",E317*$B$5/12)</f>
        <v/>
      </c>
      <c r="D318" s="15">
        <f>IF(A318="","",B318-C318)</f>
        <v/>
      </c>
      <c r="E318" s="15">
        <f>IF(A318="","",MAX(0,E317-D318))</f>
        <v/>
      </c>
    </row>
    <row r="319">
      <c r="A319" s="14">
        <f>IF(308&gt;$B$6*12,"",308)</f>
        <v/>
      </c>
      <c r="B319" s="15">
        <f>IF(A319="","",$B$7)</f>
        <v/>
      </c>
      <c r="C319" s="15">
        <f>IF(A319="","",E318*$B$5/12)</f>
        <v/>
      </c>
      <c r="D319" s="15">
        <f>IF(A319="","",B319-C319)</f>
        <v/>
      </c>
      <c r="E319" s="15">
        <f>IF(A319="","",MAX(0,E318-D319))</f>
        <v/>
      </c>
    </row>
    <row r="320">
      <c r="A320" s="14">
        <f>IF(309&gt;$B$6*12,"",309)</f>
        <v/>
      </c>
      <c r="B320" s="15">
        <f>IF(A320="","",$B$7)</f>
        <v/>
      </c>
      <c r="C320" s="15">
        <f>IF(A320="","",E319*$B$5/12)</f>
        <v/>
      </c>
      <c r="D320" s="15">
        <f>IF(A320="","",B320-C320)</f>
        <v/>
      </c>
      <c r="E320" s="15">
        <f>IF(A320="","",MAX(0,E319-D320))</f>
        <v/>
      </c>
    </row>
    <row r="321">
      <c r="A321" s="14">
        <f>IF(310&gt;$B$6*12,"",310)</f>
        <v/>
      </c>
      <c r="B321" s="15">
        <f>IF(A321="","",$B$7)</f>
        <v/>
      </c>
      <c r="C321" s="15">
        <f>IF(A321="","",E320*$B$5/12)</f>
        <v/>
      </c>
      <c r="D321" s="15">
        <f>IF(A321="","",B321-C321)</f>
        <v/>
      </c>
      <c r="E321" s="15">
        <f>IF(A321="","",MAX(0,E320-D321))</f>
        <v/>
      </c>
    </row>
    <row r="322">
      <c r="A322" s="14">
        <f>IF(311&gt;$B$6*12,"",311)</f>
        <v/>
      </c>
      <c r="B322" s="15">
        <f>IF(A322="","",$B$7)</f>
        <v/>
      </c>
      <c r="C322" s="15">
        <f>IF(A322="","",E321*$B$5/12)</f>
        <v/>
      </c>
      <c r="D322" s="15">
        <f>IF(A322="","",B322-C322)</f>
        <v/>
      </c>
      <c r="E322" s="15">
        <f>IF(A322="","",MAX(0,E321-D322))</f>
        <v/>
      </c>
    </row>
    <row r="323">
      <c r="A323" s="14">
        <f>IF(312&gt;$B$6*12,"",312)</f>
        <v/>
      </c>
      <c r="B323" s="15">
        <f>IF(A323="","",$B$7)</f>
        <v/>
      </c>
      <c r="C323" s="15">
        <f>IF(A323="","",E322*$B$5/12)</f>
        <v/>
      </c>
      <c r="D323" s="15">
        <f>IF(A323="","",B323-C323)</f>
        <v/>
      </c>
      <c r="E323" s="15">
        <f>IF(A323="","",MAX(0,E322-D323))</f>
        <v/>
      </c>
    </row>
    <row r="324">
      <c r="A324" s="14">
        <f>IF(313&gt;$B$6*12,"",313)</f>
        <v/>
      </c>
      <c r="B324" s="15">
        <f>IF(A324="","",$B$7)</f>
        <v/>
      </c>
      <c r="C324" s="15">
        <f>IF(A324="","",E323*$B$5/12)</f>
        <v/>
      </c>
      <c r="D324" s="15">
        <f>IF(A324="","",B324-C324)</f>
        <v/>
      </c>
      <c r="E324" s="15">
        <f>IF(A324="","",MAX(0,E323-D324))</f>
        <v/>
      </c>
    </row>
    <row r="325">
      <c r="A325" s="14">
        <f>IF(314&gt;$B$6*12,"",314)</f>
        <v/>
      </c>
      <c r="B325" s="15">
        <f>IF(A325="","",$B$7)</f>
        <v/>
      </c>
      <c r="C325" s="15">
        <f>IF(A325="","",E324*$B$5/12)</f>
        <v/>
      </c>
      <c r="D325" s="15">
        <f>IF(A325="","",B325-C325)</f>
        <v/>
      </c>
      <c r="E325" s="15">
        <f>IF(A325="","",MAX(0,E324-D325))</f>
        <v/>
      </c>
    </row>
    <row r="326">
      <c r="A326" s="14">
        <f>IF(315&gt;$B$6*12,"",315)</f>
        <v/>
      </c>
      <c r="B326" s="15">
        <f>IF(A326="","",$B$7)</f>
        <v/>
      </c>
      <c r="C326" s="15">
        <f>IF(A326="","",E325*$B$5/12)</f>
        <v/>
      </c>
      <c r="D326" s="15">
        <f>IF(A326="","",B326-C326)</f>
        <v/>
      </c>
      <c r="E326" s="15">
        <f>IF(A326="","",MAX(0,E325-D326))</f>
        <v/>
      </c>
    </row>
    <row r="327">
      <c r="A327" s="14">
        <f>IF(316&gt;$B$6*12,"",316)</f>
        <v/>
      </c>
      <c r="B327" s="15">
        <f>IF(A327="","",$B$7)</f>
        <v/>
      </c>
      <c r="C327" s="15">
        <f>IF(A327="","",E326*$B$5/12)</f>
        <v/>
      </c>
      <c r="D327" s="15">
        <f>IF(A327="","",B327-C327)</f>
        <v/>
      </c>
      <c r="E327" s="15">
        <f>IF(A327="","",MAX(0,E326-D327))</f>
        <v/>
      </c>
    </row>
    <row r="328">
      <c r="A328" s="14">
        <f>IF(317&gt;$B$6*12,"",317)</f>
        <v/>
      </c>
      <c r="B328" s="15">
        <f>IF(A328="","",$B$7)</f>
        <v/>
      </c>
      <c r="C328" s="15">
        <f>IF(A328="","",E327*$B$5/12)</f>
        <v/>
      </c>
      <c r="D328" s="15">
        <f>IF(A328="","",B328-C328)</f>
        <v/>
      </c>
      <c r="E328" s="15">
        <f>IF(A328="","",MAX(0,E327-D328))</f>
        <v/>
      </c>
    </row>
    <row r="329">
      <c r="A329" s="14">
        <f>IF(318&gt;$B$6*12,"",318)</f>
        <v/>
      </c>
      <c r="B329" s="15">
        <f>IF(A329="","",$B$7)</f>
        <v/>
      </c>
      <c r="C329" s="15">
        <f>IF(A329="","",E328*$B$5/12)</f>
        <v/>
      </c>
      <c r="D329" s="15">
        <f>IF(A329="","",B329-C329)</f>
        <v/>
      </c>
      <c r="E329" s="15">
        <f>IF(A329="","",MAX(0,E328-D329))</f>
        <v/>
      </c>
    </row>
    <row r="330">
      <c r="A330" s="14">
        <f>IF(319&gt;$B$6*12,"",319)</f>
        <v/>
      </c>
      <c r="B330" s="15">
        <f>IF(A330="","",$B$7)</f>
        <v/>
      </c>
      <c r="C330" s="15">
        <f>IF(A330="","",E329*$B$5/12)</f>
        <v/>
      </c>
      <c r="D330" s="15">
        <f>IF(A330="","",B330-C330)</f>
        <v/>
      </c>
      <c r="E330" s="15">
        <f>IF(A330="","",MAX(0,E329-D330))</f>
        <v/>
      </c>
    </row>
    <row r="331">
      <c r="A331" s="14">
        <f>IF(320&gt;$B$6*12,"",320)</f>
        <v/>
      </c>
      <c r="B331" s="15">
        <f>IF(A331="","",$B$7)</f>
        <v/>
      </c>
      <c r="C331" s="15">
        <f>IF(A331="","",E330*$B$5/12)</f>
        <v/>
      </c>
      <c r="D331" s="15">
        <f>IF(A331="","",B331-C331)</f>
        <v/>
      </c>
      <c r="E331" s="15">
        <f>IF(A331="","",MAX(0,E330-D331))</f>
        <v/>
      </c>
    </row>
    <row r="332">
      <c r="A332" s="14">
        <f>IF(321&gt;$B$6*12,"",321)</f>
        <v/>
      </c>
      <c r="B332" s="15">
        <f>IF(A332="","",$B$7)</f>
        <v/>
      </c>
      <c r="C332" s="15">
        <f>IF(A332="","",E331*$B$5/12)</f>
        <v/>
      </c>
      <c r="D332" s="15">
        <f>IF(A332="","",B332-C332)</f>
        <v/>
      </c>
      <c r="E332" s="15">
        <f>IF(A332="","",MAX(0,E331-D332))</f>
        <v/>
      </c>
    </row>
    <row r="333">
      <c r="A333" s="14">
        <f>IF(322&gt;$B$6*12,"",322)</f>
        <v/>
      </c>
      <c r="B333" s="15">
        <f>IF(A333="","",$B$7)</f>
        <v/>
      </c>
      <c r="C333" s="15">
        <f>IF(A333="","",E332*$B$5/12)</f>
        <v/>
      </c>
      <c r="D333" s="15">
        <f>IF(A333="","",B333-C333)</f>
        <v/>
      </c>
      <c r="E333" s="15">
        <f>IF(A333="","",MAX(0,E332-D333))</f>
        <v/>
      </c>
    </row>
    <row r="334">
      <c r="A334" s="14">
        <f>IF(323&gt;$B$6*12,"",323)</f>
        <v/>
      </c>
      <c r="B334" s="15">
        <f>IF(A334="","",$B$7)</f>
        <v/>
      </c>
      <c r="C334" s="15">
        <f>IF(A334="","",E333*$B$5/12)</f>
        <v/>
      </c>
      <c r="D334" s="15">
        <f>IF(A334="","",B334-C334)</f>
        <v/>
      </c>
      <c r="E334" s="15">
        <f>IF(A334="","",MAX(0,E333-D334))</f>
        <v/>
      </c>
    </row>
    <row r="335">
      <c r="A335" s="14">
        <f>IF(324&gt;$B$6*12,"",324)</f>
        <v/>
      </c>
      <c r="B335" s="15">
        <f>IF(A335="","",$B$7)</f>
        <v/>
      </c>
      <c r="C335" s="15">
        <f>IF(A335="","",E334*$B$5/12)</f>
        <v/>
      </c>
      <c r="D335" s="15">
        <f>IF(A335="","",B335-C335)</f>
        <v/>
      </c>
      <c r="E335" s="15">
        <f>IF(A335="","",MAX(0,E334-D335))</f>
        <v/>
      </c>
    </row>
    <row r="336">
      <c r="A336" s="14">
        <f>IF(325&gt;$B$6*12,"",325)</f>
        <v/>
      </c>
      <c r="B336" s="15">
        <f>IF(A336="","",$B$7)</f>
        <v/>
      </c>
      <c r="C336" s="15">
        <f>IF(A336="","",E335*$B$5/12)</f>
        <v/>
      </c>
      <c r="D336" s="15">
        <f>IF(A336="","",B336-C336)</f>
        <v/>
      </c>
      <c r="E336" s="15">
        <f>IF(A336="","",MAX(0,E335-D336))</f>
        <v/>
      </c>
    </row>
    <row r="337">
      <c r="A337" s="14">
        <f>IF(326&gt;$B$6*12,"",326)</f>
        <v/>
      </c>
      <c r="B337" s="15">
        <f>IF(A337="","",$B$7)</f>
        <v/>
      </c>
      <c r="C337" s="15">
        <f>IF(A337="","",E336*$B$5/12)</f>
        <v/>
      </c>
      <c r="D337" s="15">
        <f>IF(A337="","",B337-C337)</f>
        <v/>
      </c>
      <c r="E337" s="15">
        <f>IF(A337="","",MAX(0,E336-D337))</f>
        <v/>
      </c>
    </row>
    <row r="338">
      <c r="A338" s="14">
        <f>IF(327&gt;$B$6*12,"",327)</f>
        <v/>
      </c>
      <c r="B338" s="15">
        <f>IF(A338="","",$B$7)</f>
        <v/>
      </c>
      <c r="C338" s="15">
        <f>IF(A338="","",E337*$B$5/12)</f>
        <v/>
      </c>
      <c r="D338" s="15">
        <f>IF(A338="","",B338-C338)</f>
        <v/>
      </c>
      <c r="E338" s="15">
        <f>IF(A338="","",MAX(0,E337-D338))</f>
        <v/>
      </c>
    </row>
    <row r="339">
      <c r="A339" s="14">
        <f>IF(328&gt;$B$6*12,"",328)</f>
        <v/>
      </c>
      <c r="B339" s="15">
        <f>IF(A339="","",$B$7)</f>
        <v/>
      </c>
      <c r="C339" s="15">
        <f>IF(A339="","",E338*$B$5/12)</f>
        <v/>
      </c>
      <c r="D339" s="15">
        <f>IF(A339="","",B339-C339)</f>
        <v/>
      </c>
      <c r="E339" s="15">
        <f>IF(A339="","",MAX(0,E338-D339))</f>
        <v/>
      </c>
    </row>
    <row r="340">
      <c r="A340" s="14">
        <f>IF(329&gt;$B$6*12,"",329)</f>
        <v/>
      </c>
      <c r="B340" s="15">
        <f>IF(A340="","",$B$7)</f>
        <v/>
      </c>
      <c r="C340" s="15">
        <f>IF(A340="","",E339*$B$5/12)</f>
        <v/>
      </c>
      <c r="D340" s="15">
        <f>IF(A340="","",B340-C340)</f>
        <v/>
      </c>
      <c r="E340" s="15">
        <f>IF(A340="","",MAX(0,E339-D340))</f>
        <v/>
      </c>
    </row>
    <row r="341">
      <c r="A341" s="14">
        <f>IF(330&gt;$B$6*12,"",330)</f>
        <v/>
      </c>
      <c r="B341" s="15">
        <f>IF(A341="","",$B$7)</f>
        <v/>
      </c>
      <c r="C341" s="15">
        <f>IF(A341="","",E340*$B$5/12)</f>
        <v/>
      </c>
      <c r="D341" s="15">
        <f>IF(A341="","",B341-C341)</f>
        <v/>
      </c>
      <c r="E341" s="15">
        <f>IF(A341="","",MAX(0,E340-D341))</f>
        <v/>
      </c>
    </row>
    <row r="342">
      <c r="A342" s="14">
        <f>IF(331&gt;$B$6*12,"",331)</f>
        <v/>
      </c>
      <c r="B342" s="15">
        <f>IF(A342="","",$B$7)</f>
        <v/>
      </c>
      <c r="C342" s="15">
        <f>IF(A342="","",E341*$B$5/12)</f>
        <v/>
      </c>
      <c r="D342" s="15">
        <f>IF(A342="","",B342-C342)</f>
        <v/>
      </c>
      <c r="E342" s="15">
        <f>IF(A342="","",MAX(0,E341-D342))</f>
        <v/>
      </c>
    </row>
    <row r="343">
      <c r="A343" s="14">
        <f>IF(332&gt;$B$6*12,"",332)</f>
        <v/>
      </c>
      <c r="B343" s="15">
        <f>IF(A343="","",$B$7)</f>
        <v/>
      </c>
      <c r="C343" s="15">
        <f>IF(A343="","",E342*$B$5/12)</f>
        <v/>
      </c>
      <c r="D343" s="15">
        <f>IF(A343="","",B343-C343)</f>
        <v/>
      </c>
      <c r="E343" s="15">
        <f>IF(A343="","",MAX(0,E342-D343))</f>
        <v/>
      </c>
    </row>
    <row r="344">
      <c r="A344" s="14">
        <f>IF(333&gt;$B$6*12,"",333)</f>
        <v/>
      </c>
      <c r="B344" s="15">
        <f>IF(A344="","",$B$7)</f>
        <v/>
      </c>
      <c r="C344" s="15">
        <f>IF(A344="","",E343*$B$5/12)</f>
        <v/>
      </c>
      <c r="D344" s="15">
        <f>IF(A344="","",B344-C344)</f>
        <v/>
      </c>
      <c r="E344" s="15">
        <f>IF(A344="","",MAX(0,E343-D344))</f>
        <v/>
      </c>
    </row>
    <row r="345">
      <c r="A345" s="14">
        <f>IF(334&gt;$B$6*12,"",334)</f>
        <v/>
      </c>
      <c r="B345" s="15">
        <f>IF(A345="","",$B$7)</f>
        <v/>
      </c>
      <c r="C345" s="15">
        <f>IF(A345="","",E344*$B$5/12)</f>
        <v/>
      </c>
      <c r="D345" s="15">
        <f>IF(A345="","",B345-C345)</f>
        <v/>
      </c>
      <c r="E345" s="15">
        <f>IF(A345="","",MAX(0,E344-D345))</f>
        <v/>
      </c>
    </row>
    <row r="346">
      <c r="A346" s="14">
        <f>IF(335&gt;$B$6*12,"",335)</f>
        <v/>
      </c>
      <c r="B346" s="15">
        <f>IF(A346="","",$B$7)</f>
        <v/>
      </c>
      <c r="C346" s="15">
        <f>IF(A346="","",E345*$B$5/12)</f>
        <v/>
      </c>
      <c r="D346" s="15">
        <f>IF(A346="","",B346-C346)</f>
        <v/>
      </c>
      <c r="E346" s="15">
        <f>IF(A346="","",MAX(0,E345-D346))</f>
        <v/>
      </c>
    </row>
    <row r="347">
      <c r="A347" s="14">
        <f>IF(336&gt;$B$6*12,"",336)</f>
        <v/>
      </c>
      <c r="B347" s="15">
        <f>IF(A347="","",$B$7)</f>
        <v/>
      </c>
      <c r="C347" s="15">
        <f>IF(A347="","",E346*$B$5/12)</f>
        <v/>
      </c>
      <c r="D347" s="15">
        <f>IF(A347="","",B347-C347)</f>
        <v/>
      </c>
      <c r="E347" s="15">
        <f>IF(A347="","",MAX(0,E346-D347))</f>
        <v/>
      </c>
    </row>
    <row r="348">
      <c r="A348" s="14">
        <f>IF(337&gt;$B$6*12,"",337)</f>
        <v/>
      </c>
      <c r="B348" s="15">
        <f>IF(A348="","",$B$7)</f>
        <v/>
      </c>
      <c r="C348" s="15">
        <f>IF(A348="","",E347*$B$5/12)</f>
        <v/>
      </c>
      <c r="D348" s="15">
        <f>IF(A348="","",B348-C348)</f>
        <v/>
      </c>
      <c r="E348" s="15">
        <f>IF(A348="","",MAX(0,E347-D348))</f>
        <v/>
      </c>
    </row>
    <row r="349">
      <c r="A349" s="14">
        <f>IF(338&gt;$B$6*12,"",338)</f>
        <v/>
      </c>
      <c r="B349" s="15">
        <f>IF(A349="","",$B$7)</f>
        <v/>
      </c>
      <c r="C349" s="15">
        <f>IF(A349="","",E348*$B$5/12)</f>
        <v/>
      </c>
      <c r="D349" s="15">
        <f>IF(A349="","",B349-C349)</f>
        <v/>
      </c>
      <c r="E349" s="15">
        <f>IF(A349="","",MAX(0,E348-D349))</f>
        <v/>
      </c>
    </row>
    <row r="350">
      <c r="A350" s="14">
        <f>IF(339&gt;$B$6*12,"",339)</f>
        <v/>
      </c>
      <c r="B350" s="15">
        <f>IF(A350="","",$B$7)</f>
        <v/>
      </c>
      <c r="C350" s="15">
        <f>IF(A350="","",E349*$B$5/12)</f>
        <v/>
      </c>
      <c r="D350" s="15">
        <f>IF(A350="","",B350-C350)</f>
        <v/>
      </c>
      <c r="E350" s="15">
        <f>IF(A350="","",MAX(0,E349-D350))</f>
        <v/>
      </c>
    </row>
    <row r="351">
      <c r="A351" s="14">
        <f>IF(340&gt;$B$6*12,"",340)</f>
        <v/>
      </c>
      <c r="B351" s="15">
        <f>IF(A351="","",$B$7)</f>
        <v/>
      </c>
      <c r="C351" s="15">
        <f>IF(A351="","",E350*$B$5/12)</f>
        <v/>
      </c>
      <c r="D351" s="15">
        <f>IF(A351="","",B351-C351)</f>
        <v/>
      </c>
      <c r="E351" s="15">
        <f>IF(A351="","",MAX(0,E350-D351))</f>
        <v/>
      </c>
    </row>
    <row r="352">
      <c r="A352" s="14">
        <f>IF(341&gt;$B$6*12,"",341)</f>
        <v/>
      </c>
      <c r="B352" s="15">
        <f>IF(A352="","",$B$7)</f>
        <v/>
      </c>
      <c r="C352" s="15">
        <f>IF(A352="","",E351*$B$5/12)</f>
        <v/>
      </c>
      <c r="D352" s="15">
        <f>IF(A352="","",B352-C352)</f>
        <v/>
      </c>
      <c r="E352" s="15">
        <f>IF(A352="","",MAX(0,E351-D352))</f>
        <v/>
      </c>
    </row>
    <row r="353">
      <c r="A353" s="14">
        <f>IF(342&gt;$B$6*12,"",342)</f>
        <v/>
      </c>
      <c r="B353" s="15">
        <f>IF(A353="","",$B$7)</f>
        <v/>
      </c>
      <c r="C353" s="15">
        <f>IF(A353="","",E352*$B$5/12)</f>
        <v/>
      </c>
      <c r="D353" s="15">
        <f>IF(A353="","",B353-C353)</f>
        <v/>
      </c>
      <c r="E353" s="15">
        <f>IF(A353="","",MAX(0,E352-D353))</f>
        <v/>
      </c>
    </row>
    <row r="354">
      <c r="A354" s="14">
        <f>IF(343&gt;$B$6*12,"",343)</f>
        <v/>
      </c>
      <c r="B354" s="15">
        <f>IF(A354="","",$B$7)</f>
        <v/>
      </c>
      <c r="C354" s="15">
        <f>IF(A354="","",E353*$B$5/12)</f>
        <v/>
      </c>
      <c r="D354" s="15">
        <f>IF(A354="","",B354-C354)</f>
        <v/>
      </c>
      <c r="E354" s="15">
        <f>IF(A354="","",MAX(0,E353-D354))</f>
        <v/>
      </c>
    </row>
    <row r="355">
      <c r="A355" s="14">
        <f>IF(344&gt;$B$6*12,"",344)</f>
        <v/>
      </c>
      <c r="B355" s="15">
        <f>IF(A355="","",$B$7)</f>
        <v/>
      </c>
      <c r="C355" s="15">
        <f>IF(A355="","",E354*$B$5/12)</f>
        <v/>
      </c>
      <c r="D355" s="15">
        <f>IF(A355="","",B355-C355)</f>
        <v/>
      </c>
      <c r="E355" s="15">
        <f>IF(A355="","",MAX(0,E354-D355))</f>
        <v/>
      </c>
    </row>
    <row r="356">
      <c r="A356" s="14">
        <f>IF(345&gt;$B$6*12,"",345)</f>
        <v/>
      </c>
      <c r="B356" s="15">
        <f>IF(A356="","",$B$7)</f>
        <v/>
      </c>
      <c r="C356" s="15">
        <f>IF(A356="","",E355*$B$5/12)</f>
        <v/>
      </c>
      <c r="D356" s="15">
        <f>IF(A356="","",B356-C356)</f>
        <v/>
      </c>
      <c r="E356" s="15">
        <f>IF(A356="","",MAX(0,E355-D356))</f>
        <v/>
      </c>
    </row>
    <row r="357">
      <c r="A357" s="14">
        <f>IF(346&gt;$B$6*12,"",346)</f>
        <v/>
      </c>
      <c r="B357" s="15">
        <f>IF(A357="","",$B$7)</f>
        <v/>
      </c>
      <c r="C357" s="15">
        <f>IF(A357="","",E356*$B$5/12)</f>
        <v/>
      </c>
      <c r="D357" s="15">
        <f>IF(A357="","",B357-C357)</f>
        <v/>
      </c>
      <c r="E357" s="15">
        <f>IF(A357="","",MAX(0,E356-D357))</f>
        <v/>
      </c>
    </row>
    <row r="358">
      <c r="A358" s="14">
        <f>IF(347&gt;$B$6*12,"",347)</f>
        <v/>
      </c>
      <c r="B358" s="15">
        <f>IF(A358="","",$B$7)</f>
        <v/>
      </c>
      <c r="C358" s="15">
        <f>IF(A358="","",E357*$B$5/12)</f>
        <v/>
      </c>
      <c r="D358" s="15">
        <f>IF(A358="","",B358-C358)</f>
        <v/>
      </c>
      <c r="E358" s="15">
        <f>IF(A358="","",MAX(0,E357-D358))</f>
        <v/>
      </c>
    </row>
    <row r="359">
      <c r="A359" s="14">
        <f>IF(348&gt;$B$6*12,"",348)</f>
        <v/>
      </c>
      <c r="B359" s="15">
        <f>IF(A359="","",$B$7)</f>
        <v/>
      </c>
      <c r="C359" s="15">
        <f>IF(A359="","",E358*$B$5/12)</f>
        <v/>
      </c>
      <c r="D359" s="15">
        <f>IF(A359="","",B359-C359)</f>
        <v/>
      </c>
      <c r="E359" s="15">
        <f>IF(A359="","",MAX(0,E358-D359))</f>
        <v/>
      </c>
    </row>
    <row r="360">
      <c r="A360" s="14">
        <f>IF(349&gt;$B$6*12,"",349)</f>
        <v/>
      </c>
      <c r="B360" s="15">
        <f>IF(A360="","",$B$7)</f>
        <v/>
      </c>
      <c r="C360" s="15">
        <f>IF(A360="","",E359*$B$5/12)</f>
        <v/>
      </c>
      <c r="D360" s="15">
        <f>IF(A360="","",B360-C360)</f>
        <v/>
      </c>
      <c r="E360" s="15">
        <f>IF(A360="","",MAX(0,E359-D360))</f>
        <v/>
      </c>
    </row>
    <row r="361">
      <c r="A361" s="14">
        <f>IF(350&gt;$B$6*12,"",350)</f>
        <v/>
      </c>
      <c r="B361" s="15">
        <f>IF(A361="","",$B$7)</f>
        <v/>
      </c>
      <c r="C361" s="15">
        <f>IF(A361="","",E360*$B$5/12)</f>
        <v/>
      </c>
      <c r="D361" s="15">
        <f>IF(A361="","",B361-C361)</f>
        <v/>
      </c>
      <c r="E361" s="15">
        <f>IF(A361="","",MAX(0,E360-D361))</f>
        <v/>
      </c>
    </row>
    <row r="362">
      <c r="A362" s="14">
        <f>IF(351&gt;$B$6*12,"",351)</f>
        <v/>
      </c>
      <c r="B362" s="15">
        <f>IF(A362="","",$B$7)</f>
        <v/>
      </c>
      <c r="C362" s="15">
        <f>IF(A362="","",E361*$B$5/12)</f>
        <v/>
      </c>
      <c r="D362" s="15">
        <f>IF(A362="","",B362-C362)</f>
        <v/>
      </c>
      <c r="E362" s="15">
        <f>IF(A362="","",MAX(0,E361-D362))</f>
        <v/>
      </c>
    </row>
    <row r="363">
      <c r="A363" s="14">
        <f>IF(352&gt;$B$6*12,"",352)</f>
        <v/>
      </c>
      <c r="B363" s="15">
        <f>IF(A363="","",$B$7)</f>
        <v/>
      </c>
      <c r="C363" s="15">
        <f>IF(A363="","",E362*$B$5/12)</f>
        <v/>
      </c>
      <c r="D363" s="15">
        <f>IF(A363="","",B363-C363)</f>
        <v/>
      </c>
      <c r="E363" s="15">
        <f>IF(A363="","",MAX(0,E362-D363))</f>
        <v/>
      </c>
    </row>
    <row r="364">
      <c r="A364" s="14">
        <f>IF(353&gt;$B$6*12,"",353)</f>
        <v/>
      </c>
      <c r="B364" s="15">
        <f>IF(A364="","",$B$7)</f>
        <v/>
      </c>
      <c r="C364" s="15">
        <f>IF(A364="","",E363*$B$5/12)</f>
        <v/>
      </c>
      <c r="D364" s="15">
        <f>IF(A364="","",B364-C364)</f>
        <v/>
      </c>
      <c r="E364" s="15">
        <f>IF(A364="","",MAX(0,E363-D364))</f>
        <v/>
      </c>
    </row>
    <row r="365">
      <c r="A365" s="14">
        <f>IF(354&gt;$B$6*12,"",354)</f>
        <v/>
      </c>
      <c r="B365" s="15">
        <f>IF(A365="","",$B$7)</f>
        <v/>
      </c>
      <c r="C365" s="15">
        <f>IF(A365="","",E364*$B$5/12)</f>
        <v/>
      </c>
      <c r="D365" s="15">
        <f>IF(A365="","",B365-C365)</f>
        <v/>
      </c>
      <c r="E365" s="15">
        <f>IF(A365="","",MAX(0,E364-D365))</f>
        <v/>
      </c>
    </row>
    <row r="366">
      <c r="A366" s="14">
        <f>IF(355&gt;$B$6*12,"",355)</f>
        <v/>
      </c>
      <c r="B366" s="15">
        <f>IF(A366="","",$B$7)</f>
        <v/>
      </c>
      <c r="C366" s="15">
        <f>IF(A366="","",E365*$B$5/12)</f>
        <v/>
      </c>
      <c r="D366" s="15">
        <f>IF(A366="","",B366-C366)</f>
        <v/>
      </c>
      <c r="E366" s="15">
        <f>IF(A366="","",MAX(0,E365-D366))</f>
        <v/>
      </c>
    </row>
    <row r="367">
      <c r="A367" s="14">
        <f>IF(356&gt;$B$6*12,"",356)</f>
        <v/>
      </c>
      <c r="B367" s="15">
        <f>IF(A367="","",$B$7)</f>
        <v/>
      </c>
      <c r="C367" s="15">
        <f>IF(A367="","",E366*$B$5/12)</f>
        <v/>
      </c>
      <c r="D367" s="15">
        <f>IF(A367="","",B367-C367)</f>
        <v/>
      </c>
      <c r="E367" s="15">
        <f>IF(A367="","",MAX(0,E366-D367))</f>
        <v/>
      </c>
    </row>
    <row r="368">
      <c r="A368" s="14">
        <f>IF(357&gt;$B$6*12,"",357)</f>
        <v/>
      </c>
      <c r="B368" s="15">
        <f>IF(A368="","",$B$7)</f>
        <v/>
      </c>
      <c r="C368" s="15">
        <f>IF(A368="","",E367*$B$5/12)</f>
        <v/>
      </c>
      <c r="D368" s="15">
        <f>IF(A368="","",B368-C368)</f>
        <v/>
      </c>
      <c r="E368" s="15">
        <f>IF(A368="","",MAX(0,E367-D368))</f>
        <v/>
      </c>
    </row>
    <row r="369">
      <c r="A369" s="14">
        <f>IF(358&gt;$B$6*12,"",358)</f>
        <v/>
      </c>
      <c r="B369" s="15">
        <f>IF(A369="","",$B$7)</f>
        <v/>
      </c>
      <c r="C369" s="15">
        <f>IF(A369="","",E368*$B$5/12)</f>
        <v/>
      </c>
      <c r="D369" s="15">
        <f>IF(A369="","",B369-C369)</f>
        <v/>
      </c>
      <c r="E369" s="15">
        <f>IF(A369="","",MAX(0,E368-D369))</f>
        <v/>
      </c>
    </row>
    <row r="370">
      <c r="A370" s="14">
        <f>IF(359&gt;$B$6*12,"",359)</f>
        <v/>
      </c>
      <c r="B370" s="15">
        <f>IF(A370="","",$B$7)</f>
        <v/>
      </c>
      <c r="C370" s="15">
        <f>IF(A370="","",E369*$B$5/12)</f>
        <v/>
      </c>
      <c r="D370" s="15">
        <f>IF(A370="","",B370-C370)</f>
        <v/>
      </c>
      <c r="E370" s="15">
        <f>IF(A370="","",MAX(0,E369-D370))</f>
        <v/>
      </c>
    </row>
    <row r="371">
      <c r="A371" s="14">
        <f>IF(360&gt;$B$6*12,"",360)</f>
        <v/>
      </c>
      <c r="B371" s="15">
        <f>IF(A371="","",$B$7)</f>
        <v/>
      </c>
      <c r="C371" s="15">
        <f>IF(A371="","",E370*$B$5/12)</f>
        <v/>
      </c>
      <c r="D371" s="15">
        <f>IF(A371="","",B371-C371)</f>
        <v/>
      </c>
      <c r="E371" s="15">
        <f>IF(A371="","",MAX(0,E370-D371))</f>
        <v/>
      </c>
    </row>
    <row r="372">
      <c r="A372" s="14">
        <f>IF(361&gt;$B$6*12,"",361)</f>
        <v/>
      </c>
      <c r="B372" s="15">
        <f>IF(A372="","",$B$7)</f>
        <v/>
      </c>
      <c r="C372" s="15">
        <f>IF(A372="","",E371*$B$5/12)</f>
        <v/>
      </c>
      <c r="D372" s="15">
        <f>IF(A372="","",B372-C372)</f>
        <v/>
      </c>
      <c r="E372" s="15">
        <f>IF(A372="","",MAX(0,E371-D372))</f>
        <v/>
      </c>
    </row>
    <row r="373">
      <c r="A373" s="14">
        <f>IF(362&gt;$B$6*12,"",362)</f>
        <v/>
      </c>
      <c r="B373" s="15">
        <f>IF(A373="","",$B$7)</f>
        <v/>
      </c>
      <c r="C373" s="15">
        <f>IF(A373="","",E372*$B$5/12)</f>
        <v/>
      </c>
      <c r="D373" s="15">
        <f>IF(A373="","",B373-C373)</f>
        <v/>
      </c>
      <c r="E373" s="15">
        <f>IF(A373="","",MAX(0,E372-D373))</f>
        <v/>
      </c>
    </row>
    <row r="374">
      <c r="A374" s="14">
        <f>IF(363&gt;$B$6*12,"",363)</f>
        <v/>
      </c>
      <c r="B374" s="15">
        <f>IF(A374="","",$B$7)</f>
        <v/>
      </c>
      <c r="C374" s="15">
        <f>IF(A374="","",E373*$B$5/12)</f>
        <v/>
      </c>
      <c r="D374" s="15">
        <f>IF(A374="","",B374-C374)</f>
        <v/>
      </c>
      <c r="E374" s="15">
        <f>IF(A374="","",MAX(0,E373-D374))</f>
        <v/>
      </c>
    </row>
    <row r="375">
      <c r="A375" s="14">
        <f>IF(364&gt;$B$6*12,"",364)</f>
        <v/>
      </c>
      <c r="B375" s="15">
        <f>IF(A375="","",$B$7)</f>
        <v/>
      </c>
      <c r="C375" s="15">
        <f>IF(A375="","",E374*$B$5/12)</f>
        <v/>
      </c>
      <c r="D375" s="15">
        <f>IF(A375="","",B375-C375)</f>
        <v/>
      </c>
      <c r="E375" s="15">
        <f>IF(A375="","",MAX(0,E374-D375))</f>
        <v/>
      </c>
    </row>
    <row r="376">
      <c r="A376" s="14">
        <f>IF(365&gt;$B$6*12,"",365)</f>
        <v/>
      </c>
      <c r="B376" s="15">
        <f>IF(A376="","",$B$7)</f>
        <v/>
      </c>
      <c r="C376" s="15">
        <f>IF(A376="","",E375*$B$5/12)</f>
        <v/>
      </c>
      <c r="D376" s="15">
        <f>IF(A376="","",B376-C376)</f>
        <v/>
      </c>
      <c r="E376" s="15">
        <f>IF(A376="","",MAX(0,E375-D376))</f>
        <v/>
      </c>
    </row>
    <row r="377">
      <c r="A377" s="14">
        <f>IF(366&gt;$B$6*12,"",366)</f>
        <v/>
      </c>
      <c r="B377" s="15">
        <f>IF(A377="","",$B$7)</f>
        <v/>
      </c>
      <c r="C377" s="15">
        <f>IF(A377="","",E376*$B$5/12)</f>
        <v/>
      </c>
      <c r="D377" s="15">
        <f>IF(A377="","",B377-C377)</f>
        <v/>
      </c>
      <c r="E377" s="15">
        <f>IF(A377="","",MAX(0,E376-D377))</f>
        <v/>
      </c>
    </row>
    <row r="378">
      <c r="A378" s="14">
        <f>IF(367&gt;$B$6*12,"",367)</f>
        <v/>
      </c>
      <c r="B378" s="15">
        <f>IF(A378="","",$B$7)</f>
        <v/>
      </c>
      <c r="C378" s="15">
        <f>IF(A378="","",E377*$B$5/12)</f>
        <v/>
      </c>
      <c r="D378" s="15">
        <f>IF(A378="","",B378-C378)</f>
        <v/>
      </c>
      <c r="E378" s="15">
        <f>IF(A378="","",MAX(0,E377-D378))</f>
        <v/>
      </c>
    </row>
    <row r="379">
      <c r="A379" s="14">
        <f>IF(368&gt;$B$6*12,"",368)</f>
        <v/>
      </c>
      <c r="B379" s="15">
        <f>IF(A379="","",$B$7)</f>
        <v/>
      </c>
      <c r="C379" s="15">
        <f>IF(A379="","",E378*$B$5/12)</f>
        <v/>
      </c>
      <c r="D379" s="15">
        <f>IF(A379="","",B379-C379)</f>
        <v/>
      </c>
      <c r="E379" s="15">
        <f>IF(A379="","",MAX(0,E378-D379))</f>
        <v/>
      </c>
    </row>
    <row r="380">
      <c r="A380" s="14">
        <f>IF(369&gt;$B$6*12,"",369)</f>
        <v/>
      </c>
      <c r="B380" s="15">
        <f>IF(A380="","",$B$7)</f>
        <v/>
      </c>
      <c r="C380" s="15">
        <f>IF(A380="","",E379*$B$5/12)</f>
        <v/>
      </c>
      <c r="D380" s="15">
        <f>IF(A380="","",B380-C380)</f>
        <v/>
      </c>
      <c r="E380" s="15">
        <f>IF(A380="","",MAX(0,E379-D380))</f>
        <v/>
      </c>
    </row>
    <row r="381">
      <c r="A381" s="14">
        <f>IF(370&gt;$B$6*12,"",370)</f>
        <v/>
      </c>
      <c r="B381" s="15">
        <f>IF(A381="","",$B$7)</f>
        <v/>
      </c>
      <c r="C381" s="15">
        <f>IF(A381="","",E380*$B$5/12)</f>
        <v/>
      </c>
      <c r="D381" s="15">
        <f>IF(A381="","",B381-C381)</f>
        <v/>
      </c>
      <c r="E381" s="15">
        <f>IF(A381="","",MAX(0,E380-D381))</f>
        <v/>
      </c>
    </row>
    <row r="382">
      <c r="A382" s="14">
        <f>IF(371&gt;$B$6*12,"",371)</f>
        <v/>
      </c>
      <c r="B382" s="15">
        <f>IF(A382="","",$B$7)</f>
        <v/>
      </c>
      <c r="C382" s="15">
        <f>IF(A382="","",E381*$B$5/12)</f>
        <v/>
      </c>
      <c r="D382" s="15">
        <f>IF(A382="","",B382-C382)</f>
        <v/>
      </c>
      <c r="E382" s="15">
        <f>IF(A382="","",MAX(0,E381-D382))</f>
        <v/>
      </c>
    </row>
    <row r="383">
      <c r="A383" s="14">
        <f>IF(372&gt;$B$6*12,"",372)</f>
        <v/>
      </c>
      <c r="B383" s="15">
        <f>IF(A383="","",$B$7)</f>
        <v/>
      </c>
      <c r="C383" s="15">
        <f>IF(A383="","",E382*$B$5/12)</f>
        <v/>
      </c>
      <c r="D383" s="15">
        <f>IF(A383="","",B383-C383)</f>
        <v/>
      </c>
      <c r="E383" s="15">
        <f>IF(A383="","",MAX(0,E382-D383))</f>
        <v/>
      </c>
    </row>
    <row r="384">
      <c r="A384" s="14">
        <f>IF(373&gt;$B$6*12,"",373)</f>
        <v/>
      </c>
      <c r="B384" s="15">
        <f>IF(A384="","",$B$7)</f>
        <v/>
      </c>
      <c r="C384" s="15">
        <f>IF(A384="","",E383*$B$5/12)</f>
        <v/>
      </c>
      <c r="D384" s="15">
        <f>IF(A384="","",B384-C384)</f>
        <v/>
      </c>
      <c r="E384" s="15">
        <f>IF(A384="","",MAX(0,E383-D384))</f>
        <v/>
      </c>
    </row>
    <row r="385">
      <c r="A385" s="14">
        <f>IF(374&gt;$B$6*12,"",374)</f>
        <v/>
      </c>
      <c r="B385" s="15">
        <f>IF(A385="","",$B$7)</f>
        <v/>
      </c>
      <c r="C385" s="15">
        <f>IF(A385="","",E384*$B$5/12)</f>
        <v/>
      </c>
      <c r="D385" s="15">
        <f>IF(A385="","",B385-C385)</f>
        <v/>
      </c>
      <c r="E385" s="15">
        <f>IF(A385="","",MAX(0,E384-D385))</f>
        <v/>
      </c>
    </row>
    <row r="386">
      <c r="A386" s="14">
        <f>IF(375&gt;$B$6*12,"",375)</f>
        <v/>
      </c>
      <c r="B386" s="15">
        <f>IF(A386="","",$B$7)</f>
        <v/>
      </c>
      <c r="C386" s="15">
        <f>IF(A386="","",E385*$B$5/12)</f>
        <v/>
      </c>
      <c r="D386" s="15">
        <f>IF(A386="","",B386-C386)</f>
        <v/>
      </c>
      <c r="E386" s="15">
        <f>IF(A386="","",MAX(0,E385-D386))</f>
        <v/>
      </c>
    </row>
    <row r="387">
      <c r="A387" s="14">
        <f>IF(376&gt;$B$6*12,"",376)</f>
        <v/>
      </c>
      <c r="B387" s="15">
        <f>IF(A387="","",$B$7)</f>
        <v/>
      </c>
      <c r="C387" s="15">
        <f>IF(A387="","",E386*$B$5/12)</f>
        <v/>
      </c>
      <c r="D387" s="15">
        <f>IF(A387="","",B387-C387)</f>
        <v/>
      </c>
      <c r="E387" s="15">
        <f>IF(A387="","",MAX(0,E386-D387))</f>
        <v/>
      </c>
    </row>
    <row r="388">
      <c r="A388" s="14">
        <f>IF(377&gt;$B$6*12,"",377)</f>
        <v/>
      </c>
      <c r="B388" s="15">
        <f>IF(A388="","",$B$7)</f>
        <v/>
      </c>
      <c r="C388" s="15">
        <f>IF(A388="","",E387*$B$5/12)</f>
        <v/>
      </c>
      <c r="D388" s="15">
        <f>IF(A388="","",B388-C388)</f>
        <v/>
      </c>
      <c r="E388" s="15">
        <f>IF(A388="","",MAX(0,E387-D388))</f>
        <v/>
      </c>
    </row>
    <row r="389">
      <c r="A389" s="14">
        <f>IF(378&gt;$B$6*12,"",378)</f>
        <v/>
      </c>
      <c r="B389" s="15">
        <f>IF(A389="","",$B$7)</f>
        <v/>
      </c>
      <c r="C389" s="15">
        <f>IF(A389="","",E388*$B$5/12)</f>
        <v/>
      </c>
      <c r="D389" s="15">
        <f>IF(A389="","",B389-C389)</f>
        <v/>
      </c>
      <c r="E389" s="15">
        <f>IF(A389="","",MAX(0,E388-D389))</f>
        <v/>
      </c>
    </row>
    <row r="390">
      <c r="A390" s="14">
        <f>IF(379&gt;$B$6*12,"",379)</f>
        <v/>
      </c>
      <c r="B390" s="15">
        <f>IF(A390="","",$B$7)</f>
        <v/>
      </c>
      <c r="C390" s="15">
        <f>IF(A390="","",E389*$B$5/12)</f>
        <v/>
      </c>
      <c r="D390" s="15">
        <f>IF(A390="","",B390-C390)</f>
        <v/>
      </c>
      <c r="E390" s="15">
        <f>IF(A390="","",MAX(0,E389-D390))</f>
        <v/>
      </c>
    </row>
    <row r="391">
      <c r="A391" s="14">
        <f>IF(380&gt;$B$6*12,"",380)</f>
        <v/>
      </c>
      <c r="B391" s="15">
        <f>IF(A391="","",$B$7)</f>
        <v/>
      </c>
      <c r="C391" s="15">
        <f>IF(A391="","",E390*$B$5/12)</f>
        <v/>
      </c>
      <c r="D391" s="15">
        <f>IF(A391="","",B391-C391)</f>
        <v/>
      </c>
      <c r="E391" s="15">
        <f>IF(A391="","",MAX(0,E390-D391))</f>
        <v/>
      </c>
    </row>
    <row r="392">
      <c r="A392" s="14">
        <f>IF(381&gt;$B$6*12,"",381)</f>
        <v/>
      </c>
      <c r="B392" s="15">
        <f>IF(A392="","",$B$7)</f>
        <v/>
      </c>
      <c r="C392" s="15">
        <f>IF(A392="","",E391*$B$5/12)</f>
        <v/>
      </c>
      <c r="D392" s="15">
        <f>IF(A392="","",B392-C392)</f>
        <v/>
      </c>
      <c r="E392" s="15">
        <f>IF(A392="","",MAX(0,E391-D392))</f>
        <v/>
      </c>
    </row>
    <row r="393">
      <c r="A393" s="14">
        <f>IF(382&gt;$B$6*12,"",382)</f>
        <v/>
      </c>
      <c r="B393" s="15">
        <f>IF(A393="","",$B$7)</f>
        <v/>
      </c>
      <c r="C393" s="15">
        <f>IF(A393="","",E392*$B$5/12)</f>
        <v/>
      </c>
      <c r="D393" s="15">
        <f>IF(A393="","",B393-C393)</f>
        <v/>
      </c>
      <c r="E393" s="15">
        <f>IF(A393="","",MAX(0,E392-D393))</f>
        <v/>
      </c>
    </row>
    <row r="394">
      <c r="A394" s="14">
        <f>IF(383&gt;$B$6*12,"",383)</f>
        <v/>
      </c>
      <c r="B394" s="15">
        <f>IF(A394="","",$B$7)</f>
        <v/>
      </c>
      <c r="C394" s="15">
        <f>IF(A394="","",E393*$B$5/12)</f>
        <v/>
      </c>
      <c r="D394" s="15">
        <f>IF(A394="","",B394-C394)</f>
        <v/>
      </c>
      <c r="E394" s="15">
        <f>IF(A394="","",MAX(0,E393-D394))</f>
        <v/>
      </c>
    </row>
    <row r="395">
      <c r="A395" s="14">
        <f>IF(384&gt;$B$6*12,"",384)</f>
        <v/>
      </c>
      <c r="B395" s="15">
        <f>IF(A395="","",$B$7)</f>
        <v/>
      </c>
      <c r="C395" s="15">
        <f>IF(A395="","",E394*$B$5/12)</f>
        <v/>
      </c>
      <c r="D395" s="15">
        <f>IF(A395="","",B395-C395)</f>
        <v/>
      </c>
      <c r="E395" s="15">
        <f>IF(A395="","",MAX(0,E394-D395))</f>
        <v/>
      </c>
    </row>
    <row r="396">
      <c r="A396" s="14">
        <f>IF(385&gt;$B$6*12,"",385)</f>
        <v/>
      </c>
      <c r="B396" s="15">
        <f>IF(A396="","",$B$7)</f>
        <v/>
      </c>
      <c r="C396" s="15">
        <f>IF(A396="","",E395*$B$5/12)</f>
        <v/>
      </c>
      <c r="D396" s="15">
        <f>IF(A396="","",B396-C396)</f>
        <v/>
      </c>
      <c r="E396" s="15">
        <f>IF(A396="","",MAX(0,E395-D396))</f>
        <v/>
      </c>
    </row>
    <row r="397">
      <c r="A397" s="14">
        <f>IF(386&gt;$B$6*12,"",386)</f>
        <v/>
      </c>
      <c r="B397" s="15">
        <f>IF(A397="","",$B$7)</f>
        <v/>
      </c>
      <c r="C397" s="15">
        <f>IF(A397="","",E396*$B$5/12)</f>
        <v/>
      </c>
      <c r="D397" s="15">
        <f>IF(A397="","",B397-C397)</f>
        <v/>
      </c>
      <c r="E397" s="15">
        <f>IF(A397="","",MAX(0,E396-D397))</f>
        <v/>
      </c>
    </row>
    <row r="398">
      <c r="A398" s="14">
        <f>IF(387&gt;$B$6*12,"",387)</f>
        <v/>
      </c>
      <c r="B398" s="15">
        <f>IF(A398="","",$B$7)</f>
        <v/>
      </c>
      <c r="C398" s="15">
        <f>IF(A398="","",E397*$B$5/12)</f>
        <v/>
      </c>
      <c r="D398" s="15">
        <f>IF(A398="","",B398-C398)</f>
        <v/>
      </c>
      <c r="E398" s="15">
        <f>IF(A398="","",MAX(0,E397-D398))</f>
        <v/>
      </c>
    </row>
    <row r="399">
      <c r="A399" s="14">
        <f>IF(388&gt;$B$6*12,"",388)</f>
        <v/>
      </c>
      <c r="B399" s="15">
        <f>IF(A399="","",$B$7)</f>
        <v/>
      </c>
      <c r="C399" s="15">
        <f>IF(A399="","",E398*$B$5/12)</f>
        <v/>
      </c>
      <c r="D399" s="15">
        <f>IF(A399="","",B399-C399)</f>
        <v/>
      </c>
      <c r="E399" s="15">
        <f>IF(A399="","",MAX(0,E398-D399))</f>
        <v/>
      </c>
    </row>
    <row r="400">
      <c r="A400" s="14">
        <f>IF(389&gt;$B$6*12,"",389)</f>
        <v/>
      </c>
      <c r="B400" s="15">
        <f>IF(A400="","",$B$7)</f>
        <v/>
      </c>
      <c r="C400" s="15">
        <f>IF(A400="","",E399*$B$5/12)</f>
        <v/>
      </c>
      <c r="D400" s="15">
        <f>IF(A400="","",B400-C400)</f>
        <v/>
      </c>
      <c r="E400" s="15">
        <f>IF(A400="","",MAX(0,E399-D400))</f>
        <v/>
      </c>
    </row>
    <row r="401">
      <c r="A401" s="14">
        <f>IF(390&gt;$B$6*12,"",390)</f>
        <v/>
      </c>
      <c r="B401" s="15">
        <f>IF(A401="","",$B$7)</f>
        <v/>
      </c>
      <c r="C401" s="15">
        <f>IF(A401="","",E400*$B$5/12)</f>
        <v/>
      </c>
      <c r="D401" s="15">
        <f>IF(A401="","",B401-C401)</f>
        <v/>
      </c>
      <c r="E401" s="15">
        <f>IF(A401="","",MAX(0,E400-D401))</f>
        <v/>
      </c>
    </row>
    <row r="402">
      <c r="A402" s="14">
        <f>IF(391&gt;$B$6*12,"",391)</f>
        <v/>
      </c>
      <c r="B402" s="15">
        <f>IF(A402="","",$B$7)</f>
        <v/>
      </c>
      <c r="C402" s="15">
        <f>IF(A402="","",E401*$B$5/12)</f>
        <v/>
      </c>
      <c r="D402" s="15">
        <f>IF(A402="","",B402-C402)</f>
        <v/>
      </c>
      <c r="E402" s="15">
        <f>IF(A402="","",MAX(0,E401-D402))</f>
        <v/>
      </c>
    </row>
    <row r="403">
      <c r="A403" s="14">
        <f>IF(392&gt;$B$6*12,"",392)</f>
        <v/>
      </c>
      <c r="B403" s="15">
        <f>IF(A403="","",$B$7)</f>
        <v/>
      </c>
      <c r="C403" s="15">
        <f>IF(A403="","",E402*$B$5/12)</f>
        <v/>
      </c>
      <c r="D403" s="15">
        <f>IF(A403="","",B403-C403)</f>
        <v/>
      </c>
      <c r="E403" s="15">
        <f>IF(A403="","",MAX(0,E402-D403))</f>
        <v/>
      </c>
    </row>
    <row r="404">
      <c r="A404" s="14">
        <f>IF(393&gt;$B$6*12,"",393)</f>
        <v/>
      </c>
      <c r="B404" s="15">
        <f>IF(A404="","",$B$7)</f>
        <v/>
      </c>
      <c r="C404" s="15">
        <f>IF(A404="","",E403*$B$5/12)</f>
        <v/>
      </c>
      <c r="D404" s="15">
        <f>IF(A404="","",B404-C404)</f>
        <v/>
      </c>
      <c r="E404" s="15">
        <f>IF(A404="","",MAX(0,E403-D404))</f>
        <v/>
      </c>
    </row>
    <row r="405">
      <c r="A405" s="14">
        <f>IF(394&gt;$B$6*12,"",394)</f>
        <v/>
      </c>
      <c r="B405" s="15">
        <f>IF(A405="","",$B$7)</f>
        <v/>
      </c>
      <c r="C405" s="15">
        <f>IF(A405="","",E404*$B$5/12)</f>
        <v/>
      </c>
      <c r="D405" s="15">
        <f>IF(A405="","",B405-C405)</f>
        <v/>
      </c>
      <c r="E405" s="15">
        <f>IF(A405="","",MAX(0,E404-D405))</f>
        <v/>
      </c>
    </row>
    <row r="406">
      <c r="A406" s="14">
        <f>IF(395&gt;$B$6*12,"",395)</f>
        <v/>
      </c>
      <c r="B406" s="15">
        <f>IF(A406="","",$B$7)</f>
        <v/>
      </c>
      <c r="C406" s="15">
        <f>IF(A406="","",E405*$B$5/12)</f>
        <v/>
      </c>
      <c r="D406" s="15">
        <f>IF(A406="","",B406-C406)</f>
        <v/>
      </c>
      <c r="E406" s="15">
        <f>IF(A406="","",MAX(0,E405-D406))</f>
        <v/>
      </c>
    </row>
    <row r="407">
      <c r="A407" s="14">
        <f>IF(396&gt;$B$6*12,"",396)</f>
        <v/>
      </c>
      <c r="B407" s="15">
        <f>IF(A407="","",$B$7)</f>
        <v/>
      </c>
      <c r="C407" s="15">
        <f>IF(A407="","",E406*$B$5/12)</f>
        <v/>
      </c>
      <c r="D407" s="15">
        <f>IF(A407="","",B407-C407)</f>
        <v/>
      </c>
      <c r="E407" s="15">
        <f>IF(A407="","",MAX(0,E406-D407))</f>
        <v/>
      </c>
    </row>
    <row r="408">
      <c r="A408" s="14">
        <f>IF(397&gt;$B$6*12,"",397)</f>
        <v/>
      </c>
      <c r="B408" s="15">
        <f>IF(A408="","",$B$7)</f>
        <v/>
      </c>
      <c r="C408" s="15">
        <f>IF(A408="","",E407*$B$5/12)</f>
        <v/>
      </c>
      <c r="D408" s="15">
        <f>IF(A408="","",B408-C408)</f>
        <v/>
      </c>
      <c r="E408" s="15">
        <f>IF(A408="","",MAX(0,E407-D408))</f>
        <v/>
      </c>
    </row>
    <row r="409">
      <c r="A409" s="14">
        <f>IF(398&gt;$B$6*12,"",398)</f>
        <v/>
      </c>
      <c r="B409" s="15">
        <f>IF(A409="","",$B$7)</f>
        <v/>
      </c>
      <c r="C409" s="15">
        <f>IF(A409="","",E408*$B$5/12)</f>
        <v/>
      </c>
      <c r="D409" s="15">
        <f>IF(A409="","",B409-C409)</f>
        <v/>
      </c>
      <c r="E409" s="15">
        <f>IF(A409="","",MAX(0,E408-D409))</f>
        <v/>
      </c>
    </row>
    <row r="410">
      <c r="A410" s="14">
        <f>IF(399&gt;$B$6*12,"",399)</f>
        <v/>
      </c>
      <c r="B410" s="15">
        <f>IF(A410="","",$B$7)</f>
        <v/>
      </c>
      <c r="C410" s="15">
        <f>IF(A410="","",E409*$B$5/12)</f>
        <v/>
      </c>
      <c r="D410" s="15">
        <f>IF(A410="","",B410-C410)</f>
        <v/>
      </c>
      <c r="E410" s="15">
        <f>IF(A410="","",MAX(0,E409-D410))</f>
        <v/>
      </c>
    </row>
    <row r="411">
      <c r="A411" s="14">
        <f>IF(400&gt;$B$6*12,"",400)</f>
        <v/>
      </c>
      <c r="B411" s="15">
        <f>IF(A411="","",$B$7)</f>
        <v/>
      </c>
      <c r="C411" s="15">
        <f>IF(A411="","",E410*$B$5/12)</f>
        <v/>
      </c>
      <c r="D411" s="15">
        <f>IF(A411="","",B411-C411)</f>
        <v/>
      </c>
      <c r="E411" s="15">
        <f>IF(A411="","",MAX(0,E410-D411))</f>
        <v/>
      </c>
    </row>
    <row r="412">
      <c r="A412" s="14">
        <f>IF(401&gt;$B$6*12,"",401)</f>
        <v/>
      </c>
      <c r="B412" s="15">
        <f>IF(A412="","",$B$7)</f>
        <v/>
      </c>
      <c r="C412" s="15">
        <f>IF(A412="","",E411*$B$5/12)</f>
        <v/>
      </c>
      <c r="D412" s="15">
        <f>IF(A412="","",B412-C412)</f>
        <v/>
      </c>
      <c r="E412" s="15">
        <f>IF(A412="","",MAX(0,E411-D412))</f>
        <v/>
      </c>
    </row>
    <row r="413">
      <c r="A413" s="14">
        <f>IF(402&gt;$B$6*12,"",402)</f>
        <v/>
      </c>
      <c r="B413" s="15">
        <f>IF(A413="","",$B$7)</f>
        <v/>
      </c>
      <c r="C413" s="15">
        <f>IF(A413="","",E412*$B$5/12)</f>
        <v/>
      </c>
      <c r="D413" s="15">
        <f>IF(A413="","",B413-C413)</f>
        <v/>
      </c>
      <c r="E413" s="15">
        <f>IF(A413="","",MAX(0,E412-D413))</f>
        <v/>
      </c>
    </row>
    <row r="414">
      <c r="A414" s="14">
        <f>IF(403&gt;$B$6*12,"",403)</f>
        <v/>
      </c>
      <c r="B414" s="15">
        <f>IF(A414="","",$B$7)</f>
        <v/>
      </c>
      <c r="C414" s="15">
        <f>IF(A414="","",E413*$B$5/12)</f>
        <v/>
      </c>
      <c r="D414" s="15">
        <f>IF(A414="","",B414-C414)</f>
        <v/>
      </c>
      <c r="E414" s="15">
        <f>IF(A414="","",MAX(0,E413-D414))</f>
        <v/>
      </c>
    </row>
    <row r="415">
      <c r="A415" s="14">
        <f>IF(404&gt;$B$6*12,"",404)</f>
        <v/>
      </c>
      <c r="B415" s="15">
        <f>IF(A415="","",$B$7)</f>
        <v/>
      </c>
      <c r="C415" s="15">
        <f>IF(A415="","",E414*$B$5/12)</f>
        <v/>
      </c>
      <c r="D415" s="15">
        <f>IF(A415="","",B415-C415)</f>
        <v/>
      </c>
      <c r="E415" s="15">
        <f>IF(A415="","",MAX(0,E414-D415))</f>
        <v/>
      </c>
    </row>
    <row r="416">
      <c r="A416" s="14">
        <f>IF(405&gt;$B$6*12,"",405)</f>
        <v/>
      </c>
      <c r="B416" s="15">
        <f>IF(A416="","",$B$7)</f>
        <v/>
      </c>
      <c r="C416" s="15">
        <f>IF(A416="","",E415*$B$5/12)</f>
        <v/>
      </c>
      <c r="D416" s="15">
        <f>IF(A416="","",B416-C416)</f>
        <v/>
      </c>
      <c r="E416" s="15">
        <f>IF(A416="","",MAX(0,E415-D416))</f>
        <v/>
      </c>
    </row>
    <row r="417">
      <c r="A417" s="14">
        <f>IF(406&gt;$B$6*12,"",406)</f>
        <v/>
      </c>
      <c r="B417" s="15">
        <f>IF(A417="","",$B$7)</f>
        <v/>
      </c>
      <c r="C417" s="15">
        <f>IF(A417="","",E416*$B$5/12)</f>
        <v/>
      </c>
      <c r="D417" s="15">
        <f>IF(A417="","",B417-C417)</f>
        <v/>
      </c>
      <c r="E417" s="15">
        <f>IF(A417="","",MAX(0,E416-D417))</f>
        <v/>
      </c>
    </row>
    <row r="418">
      <c r="A418" s="14">
        <f>IF(407&gt;$B$6*12,"",407)</f>
        <v/>
      </c>
      <c r="B418" s="15">
        <f>IF(A418="","",$B$7)</f>
        <v/>
      </c>
      <c r="C418" s="15">
        <f>IF(A418="","",E417*$B$5/12)</f>
        <v/>
      </c>
      <c r="D418" s="15">
        <f>IF(A418="","",B418-C418)</f>
        <v/>
      </c>
      <c r="E418" s="15">
        <f>IF(A418="","",MAX(0,E417-D418))</f>
        <v/>
      </c>
    </row>
    <row r="419">
      <c r="A419" s="14">
        <f>IF(408&gt;$B$6*12,"",408)</f>
        <v/>
      </c>
      <c r="B419" s="15">
        <f>IF(A419="","",$B$7)</f>
        <v/>
      </c>
      <c r="C419" s="15">
        <f>IF(A419="","",E418*$B$5/12)</f>
        <v/>
      </c>
      <c r="D419" s="15">
        <f>IF(A419="","",B419-C419)</f>
        <v/>
      </c>
      <c r="E419" s="15">
        <f>IF(A419="","",MAX(0,E418-D419))</f>
        <v/>
      </c>
    </row>
    <row r="420">
      <c r="A420" s="14">
        <f>IF(409&gt;$B$6*12,"",409)</f>
        <v/>
      </c>
      <c r="B420" s="15">
        <f>IF(A420="","",$B$7)</f>
        <v/>
      </c>
      <c r="C420" s="15">
        <f>IF(A420="","",E419*$B$5/12)</f>
        <v/>
      </c>
      <c r="D420" s="15">
        <f>IF(A420="","",B420-C420)</f>
        <v/>
      </c>
      <c r="E420" s="15">
        <f>IF(A420="","",MAX(0,E419-D420))</f>
        <v/>
      </c>
    </row>
    <row r="421">
      <c r="A421" s="14">
        <f>IF(410&gt;$B$6*12,"",410)</f>
        <v/>
      </c>
      <c r="B421" s="15">
        <f>IF(A421="","",$B$7)</f>
        <v/>
      </c>
      <c r="C421" s="15">
        <f>IF(A421="","",E420*$B$5/12)</f>
        <v/>
      </c>
      <c r="D421" s="15">
        <f>IF(A421="","",B421-C421)</f>
        <v/>
      </c>
      <c r="E421" s="15">
        <f>IF(A421="","",MAX(0,E420-D421))</f>
        <v/>
      </c>
    </row>
    <row r="422">
      <c r="A422" s="14">
        <f>IF(411&gt;$B$6*12,"",411)</f>
        <v/>
      </c>
      <c r="B422" s="15">
        <f>IF(A422="","",$B$7)</f>
        <v/>
      </c>
      <c r="C422" s="15">
        <f>IF(A422="","",E421*$B$5/12)</f>
        <v/>
      </c>
      <c r="D422" s="15">
        <f>IF(A422="","",B422-C422)</f>
        <v/>
      </c>
      <c r="E422" s="15">
        <f>IF(A422="","",MAX(0,E421-D422))</f>
        <v/>
      </c>
    </row>
    <row r="423">
      <c r="A423" s="14">
        <f>IF(412&gt;$B$6*12,"",412)</f>
        <v/>
      </c>
      <c r="B423" s="15">
        <f>IF(A423="","",$B$7)</f>
        <v/>
      </c>
      <c r="C423" s="15">
        <f>IF(A423="","",E422*$B$5/12)</f>
        <v/>
      </c>
      <c r="D423" s="15">
        <f>IF(A423="","",B423-C423)</f>
        <v/>
      </c>
      <c r="E423" s="15">
        <f>IF(A423="","",MAX(0,E422-D423))</f>
        <v/>
      </c>
    </row>
    <row r="424">
      <c r="A424" s="14">
        <f>IF(413&gt;$B$6*12,"",413)</f>
        <v/>
      </c>
      <c r="B424" s="15">
        <f>IF(A424="","",$B$7)</f>
        <v/>
      </c>
      <c r="C424" s="15">
        <f>IF(A424="","",E423*$B$5/12)</f>
        <v/>
      </c>
      <c r="D424" s="15">
        <f>IF(A424="","",B424-C424)</f>
        <v/>
      </c>
      <c r="E424" s="15">
        <f>IF(A424="","",MAX(0,E423-D424))</f>
        <v/>
      </c>
    </row>
    <row r="425">
      <c r="A425" s="14">
        <f>IF(414&gt;$B$6*12,"",414)</f>
        <v/>
      </c>
      <c r="B425" s="15">
        <f>IF(A425="","",$B$7)</f>
        <v/>
      </c>
      <c r="C425" s="15">
        <f>IF(A425="","",E424*$B$5/12)</f>
        <v/>
      </c>
      <c r="D425" s="15">
        <f>IF(A425="","",B425-C425)</f>
        <v/>
      </c>
      <c r="E425" s="15">
        <f>IF(A425="","",MAX(0,E424-D425))</f>
        <v/>
      </c>
    </row>
    <row r="426">
      <c r="A426" s="14">
        <f>IF(415&gt;$B$6*12,"",415)</f>
        <v/>
      </c>
      <c r="B426" s="15">
        <f>IF(A426="","",$B$7)</f>
        <v/>
      </c>
      <c r="C426" s="15">
        <f>IF(A426="","",E425*$B$5/12)</f>
        <v/>
      </c>
      <c r="D426" s="15">
        <f>IF(A426="","",B426-C426)</f>
        <v/>
      </c>
      <c r="E426" s="15">
        <f>IF(A426="","",MAX(0,E425-D426))</f>
        <v/>
      </c>
    </row>
    <row r="427">
      <c r="A427" s="14">
        <f>IF(416&gt;$B$6*12,"",416)</f>
        <v/>
      </c>
      <c r="B427" s="15">
        <f>IF(A427="","",$B$7)</f>
        <v/>
      </c>
      <c r="C427" s="15">
        <f>IF(A427="","",E426*$B$5/12)</f>
        <v/>
      </c>
      <c r="D427" s="15">
        <f>IF(A427="","",B427-C427)</f>
        <v/>
      </c>
      <c r="E427" s="15">
        <f>IF(A427="","",MAX(0,E426-D427))</f>
        <v/>
      </c>
    </row>
    <row r="428">
      <c r="A428" s="14">
        <f>IF(417&gt;$B$6*12,"",417)</f>
        <v/>
      </c>
      <c r="B428" s="15">
        <f>IF(A428="","",$B$7)</f>
        <v/>
      </c>
      <c r="C428" s="15">
        <f>IF(A428="","",E427*$B$5/12)</f>
        <v/>
      </c>
      <c r="D428" s="15">
        <f>IF(A428="","",B428-C428)</f>
        <v/>
      </c>
      <c r="E428" s="15">
        <f>IF(A428="","",MAX(0,E427-D428))</f>
        <v/>
      </c>
    </row>
    <row r="429">
      <c r="A429" s="14">
        <f>IF(418&gt;$B$6*12,"",418)</f>
        <v/>
      </c>
      <c r="B429" s="15">
        <f>IF(A429="","",$B$7)</f>
        <v/>
      </c>
      <c r="C429" s="15">
        <f>IF(A429="","",E428*$B$5/12)</f>
        <v/>
      </c>
      <c r="D429" s="15">
        <f>IF(A429="","",B429-C429)</f>
        <v/>
      </c>
      <c r="E429" s="15">
        <f>IF(A429="","",MAX(0,E428-D429))</f>
        <v/>
      </c>
    </row>
    <row r="430">
      <c r="A430" s="14">
        <f>IF(419&gt;$B$6*12,"",419)</f>
        <v/>
      </c>
      <c r="B430" s="15">
        <f>IF(A430="","",$B$7)</f>
        <v/>
      </c>
      <c r="C430" s="15">
        <f>IF(A430="","",E429*$B$5/12)</f>
        <v/>
      </c>
      <c r="D430" s="15">
        <f>IF(A430="","",B430-C430)</f>
        <v/>
      </c>
      <c r="E430" s="15">
        <f>IF(A430="","",MAX(0,E429-D430))</f>
        <v/>
      </c>
    </row>
    <row r="431">
      <c r="A431" s="14">
        <f>IF(420&gt;$B$6*12,"",420)</f>
        <v/>
      </c>
      <c r="B431" s="15">
        <f>IF(A431="","",$B$7)</f>
        <v/>
      </c>
      <c r="C431" s="15">
        <f>IF(A431="","",E430*$B$5/12)</f>
        <v/>
      </c>
      <c r="D431" s="15">
        <f>IF(A431="","",B431-C431)</f>
        <v/>
      </c>
      <c r="E431" s="15">
        <f>IF(A431="","",MAX(0,E430-D431))</f>
        <v/>
      </c>
    </row>
    <row r="432">
      <c r="A432" s="14">
        <f>IF(421&gt;$B$6*12,"",421)</f>
        <v/>
      </c>
      <c r="B432" s="15">
        <f>IF(A432="","",$B$7)</f>
        <v/>
      </c>
      <c r="C432" s="15">
        <f>IF(A432="","",E431*$B$5/12)</f>
        <v/>
      </c>
      <c r="D432" s="15">
        <f>IF(A432="","",B432-C432)</f>
        <v/>
      </c>
      <c r="E432" s="15">
        <f>IF(A432="","",MAX(0,E431-D432))</f>
        <v/>
      </c>
    </row>
    <row r="433">
      <c r="A433" s="14">
        <f>IF(422&gt;$B$6*12,"",422)</f>
        <v/>
      </c>
      <c r="B433" s="15">
        <f>IF(A433="","",$B$7)</f>
        <v/>
      </c>
      <c r="C433" s="15">
        <f>IF(A433="","",E432*$B$5/12)</f>
        <v/>
      </c>
      <c r="D433" s="15">
        <f>IF(A433="","",B433-C433)</f>
        <v/>
      </c>
      <c r="E433" s="15">
        <f>IF(A433="","",MAX(0,E432-D433))</f>
        <v/>
      </c>
    </row>
    <row r="434">
      <c r="A434" s="14">
        <f>IF(423&gt;$B$6*12,"",423)</f>
        <v/>
      </c>
      <c r="B434" s="15">
        <f>IF(A434="","",$B$7)</f>
        <v/>
      </c>
      <c r="C434" s="15">
        <f>IF(A434="","",E433*$B$5/12)</f>
        <v/>
      </c>
      <c r="D434" s="15">
        <f>IF(A434="","",B434-C434)</f>
        <v/>
      </c>
      <c r="E434" s="15">
        <f>IF(A434="","",MAX(0,E433-D434))</f>
        <v/>
      </c>
    </row>
    <row r="435">
      <c r="A435" s="14">
        <f>IF(424&gt;$B$6*12,"",424)</f>
        <v/>
      </c>
      <c r="B435" s="15">
        <f>IF(A435="","",$B$7)</f>
        <v/>
      </c>
      <c r="C435" s="15">
        <f>IF(A435="","",E434*$B$5/12)</f>
        <v/>
      </c>
      <c r="D435" s="15">
        <f>IF(A435="","",B435-C435)</f>
        <v/>
      </c>
      <c r="E435" s="15">
        <f>IF(A435="","",MAX(0,E434-D435))</f>
        <v/>
      </c>
    </row>
    <row r="436">
      <c r="A436" s="14">
        <f>IF(425&gt;$B$6*12,"",425)</f>
        <v/>
      </c>
      <c r="B436" s="15">
        <f>IF(A436="","",$B$7)</f>
        <v/>
      </c>
      <c r="C436" s="15">
        <f>IF(A436="","",E435*$B$5/12)</f>
        <v/>
      </c>
      <c r="D436" s="15">
        <f>IF(A436="","",B436-C436)</f>
        <v/>
      </c>
      <c r="E436" s="15">
        <f>IF(A436="","",MAX(0,E435-D436))</f>
        <v/>
      </c>
    </row>
    <row r="437">
      <c r="A437" s="14">
        <f>IF(426&gt;$B$6*12,"",426)</f>
        <v/>
      </c>
      <c r="B437" s="15">
        <f>IF(A437="","",$B$7)</f>
        <v/>
      </c>
      <c r="C437" s="15">
        <f>IF(A437="","",E436*$B$5/12)</f>
        <v/>
      </c>
      <c r="D437" s="15">
        <f>IF(A437="","",B437-C437)</f>
        <v/>
      </c>
      <c r="E437" s="15">
        <f>IF(A437="","",MAX(0,E436-D437))</f>
        <v/>
      </c>
    </row>
    <row r="438">
      <c r="A438" s="14">
        <f>IF(427&gt;$B$6*12,"",427)</f>
        <v/>
      </c>
      <c r="B438" s="15">
        <f>IF(A438="","",$B$7)</f>
        <v/>
      </c>
      <c r="C438" s="15">
        <f>IF(A438="","",E437*$B$5/12)</f>
        <v/>
      </c>
      <c r="D438" s="15">
        <f>IF(A438="","",B438-C438)</f>
        <v/>
      </c>
      <c r="E438" s="15">
        <f>IF(A438="","",MAX(0,E437-D438))</f>
        <v/>
      </c>
    </row>
    <row r="439">
      <c r="A439" s="14">
        <f>IF(428&gt;$B$6*12,"",428)</f>
        <v/>
      </c>
      <c r="B439" s="15">
        <f>IF(A439="","",$B$7)</f>
        <v/>
      </c>
      <c r="C439" s="15">
        <f>IF(A439="","",E438*$B$5/12)</f>
        <v/>
      </c>
      <c r="D439" s="15">
        <f>IF(A439="","",B439-C439)</f>
        <v/>
      </c>
      <c r="E439" s="15">
        <f>IF(A439="","",MAX(0,E438-D439))</f>
        <v/>
      </c>
    </row>
    <row r="440">
      <c r="A440" s="14">
        <f>IF(429&gt;$B$6*12,"",429)</f>
        <v/>
      </c>
      <c r="B440" s="15">
        <f>IF(A440="","",$B$7)</f>
        <v/>
      </c>
      <c r="C440" s="15">
        <f>IF(A440="","",E439*$B$5/12)</f>
        <v/>
      </c>
      <c r="D440" s="15">
        <f>IF(A440="","",B440-C440)</f>
        <v/>
      </c>
      <c r="E440" s="15">
        <f>IF(A440="","",MAX(0,E439-D440))</f>
        <v/>
      </c>
    </row>
    <row r="441">
      <c r="A441" s="14">
        <f>IF(430&gt;$B$6*12,"",430)</f>
        <v/>
      </c>
      <c r="B441" s="15">
        <f>IF(A441="","",$B$7)</f>
        <v/>
      </c>
      <c r="C441" s="15">
        <f>IF(A441="","",E440*$B$5/12)</f>
        <v/>
      </c>
      <c r="D441" s="15">
        <f>IF(A441="","",B441-C441)</f>
        <v/>
      </c>
      <c r="E441" s="15">
        <f>IF(A441="","",MAX(0,E440-D441))</f>
        <v/>
      </c>
    </row>
    <row r="442">
      <c r="A442" s="14">
        <f>IF(431&gt;$B$6*12,"",431)</f>
        <v/>
      </c>
      <c r="B442" s="15">
        <f>IF(A442="","",$B$7)</f>
        <v/>
      </c>
      <c r="C442" s="15">
        <f>IF(A442="","",E441*$B$5/12)</f>
        <v/>
      </c>
      <c r="D442" s="15">
        <f>IF(A442="","",B442-C442)</f>
        <v/>
      </c>
      <c r="E442" s="15">
        <f>IF(A442="","",MAX(0,E441-D442))</f>
        <v/>
      </c>
    </row>
    <row r="443">
      <c r="A443" s="14">
        <f>IF(432&gt;$B$6*12,"",432)</f>
        <v/>
      </c>
      <c r="B443" s="15">
        <f>IF(A443="","",$B$7)</f>
        <v/>
      </c>
      <c r="C443" s="15">
        <f>IF(A443="","",E442*$B$5/12)</f>
        <v/>
      </c>
      <c r="D443" s="15">
        <f>IF(A443="","",B443-C443)</f>
        <v/>
      </c>
      <c r="E443" s="15">
        <f>IF(A443="","",MAX(0,E442-D443))</f>
        <v/>
      </c>
    </row>
    <row r="444">
      <c r="A444" s="14">
        <f>IF(433&gt;$B$6*12,"",433)</f>
        <v/>
      </c>
      <c r="B444" s="15">
        <f>IF(A444="","",$B$7)</f>
        <v/>
      </c>
      <c r="C444" s="15">
        <f>IF(A444="","",E443*$B$5/12)</f>
        <v/>
      </c>
      <c r="D444" s="15">
        <f>IF(A444="","",B444-C444)</f>
        <v/>
      </c>
      <c r="E444" s="15">
        <f>IF(A444="","",MAX(0,E443-D444))</f>
        <v/>
      </c>
    </row>
    <row r="445">
      <c r="A445" s="14">
        <f>IF(434&gt;$B$6*12,"",434)</f>
        <v/>
      </c>
      <c r="B445" s="15">
        <f>IF(A445="","",$B$7)</f>
        <v/>
      </c>
      <c r="C445" s="15">
        <f>IF(A445="","",E444*$B$5/12)</f>
        <v/>
      </c>
      <c r="D445" s="15">
        <f>IF(A445="","",B445-C445)</f>
        <v/>
      </c>
      <c r="E445" s="15">
        <f>IF(A445="","",MAX(0,E444-D445))</f>
        <v/>
      </c>
    </row>
    <row r="446">
      <c r="A446" s="14">
        <f>IF(435&gt;$B$6*12,"",435)</f>
        <v/>
      </c>
      <c r="B446" s="15">
        <f>IF(A446="","",$B$7)</f>
        <v/>
      </c>
      <c r="C446" s="15">
        <f>IF(A446="","",E445*$B$5/12)</f>
        <v/>
      </c>
      <c r="D446" s="15">
        <f>IF(A446="","",B446-C446)</f>
        <v/>
      </c>
      <c r="E446" s="15">
        <f>IF(A446="","",MAX(0,E445-D446))</f>
        <v/>
      </c>
    </row>
    <row r="447">
      <c r="A447" s="14">
        <f>IF(436&gt;$B$6*12,"",436)</f>
        <v/>
      </c>
      <c r="B447" s="15">
        <f>IF(A447="","",$B$7)</f>
        <v/>
      </c>
      <c r="C447" s="15">
        <f>IF(A447="","",E446*$B$5/12)</f>
        <v/>
      </c>
      <c r="D447" s="15">
        <f>IF(A447="","",B447-C447)</f>
        <v/>
      </c>
      <c r="E447" s="15">
        <f>IF(A447="","",MAX(0,E446-D447))</f>
        <v/>
      </c>
    </row>
    <row r="448">
      <c r="A448" s="14">
        <f>IF(437&gt;$B$6*12,"",437)</f>
        <v/>
      </c>
      <c r="B448" s="15">
        <f>IF(A448="","",$B$7)</f>
        <v/>
      </c>
      <c r="C448" s="15">
        <f>IF(A448="","",E447*$B$5/12)</f>
        <v/>
      </c>
      <c r="D448" s="15">
        <f>IF(A448="","",B448-C448)</f>
        <v/>
      </c>
      <c r="E448" s="15">
        <f>IF(A448="","",MAX(0,E447-D448))</f>
        <v/>
      </c>
    </row>
    <row r="449">
      <c r="A449" s="14">
        <f>IF(438&gt;$B$6*12,"",438)</f>
        <v/>
      </c>
      <c r="B449" s="15">
        <f>IF(A449="","",$B$7)</f>
        <v/>
      </c>
      <c r="C449" s="15">
        <f>IF(A449="","",E448*$B$5/12)</f>
        <v/>
      </c>
      <c r="D449" s="15">
        <f>IF(A449="","",B449-C449)</f>
        <v/>
      </c>
      <c r="E449" s="15">
        <f>IF(A449="","",MAX(0,E448-D449))</f>
        <v/>
      </c>
    </row>
    <row r="450">
      <c r="A450" s="14">
        <f>IF(439&gt;$B$6*12,"",439)</f>
        <v/>
      </c>
      <c r="B450" s="15">
        <f>IF(A450="","",$B$7)</f>
        <v/>
      </c>
      <c r="C450" s="15">
        <f>IF(A450="","",E449*$B$5/12)</f>
        <v/>
      </c>
      <c r="D450" s="15">
        <f>IF(A450="","",B450-C450)</f>
        <v/>
      </c>
      <c r="E450" s="15">
        <f>IF(A450="","",MAX(0,E449-D450))</f>
        <v/>
      </c>
    </row>
    <row r="451">
      <c r="A451" s="14">
        <f>IF(440&gt;$B$6*12,"",440)</f>
        <v/>
      </c>
      <c r="B451" s="15">
        <f>IF(A451="","",$B$7)</f>
        <v/>
      </c>
      <c r="C451" s="15">
        <f>IF(A451="","",E450*$B$5/12)</f>
        <v/>
      </c>
      <c r="D451" s="15">
        <f>IF(A451="","",B451-C451)</f>
        <v/>
      </c>
      <c r="E451" s="15">
        <f>IF(A451="","",MAX(0,E450-D451))</f>
        <v/>
      </c>
    </row>
    <row r="452">
      <c r="A452" s="14">
        <f>IF(441&gt;$B$6*12,"",441)</f>
        <v/>
      </c>
      <c r="B452" s="15">
        <f>IF(A452="","",$B$7)</f>
        <v/>
      </c>
      <c r="C452" s="15">
        <f>IF(A452="","",E451*$B$5/12)</f>
        <v/>
      </c>
      <c r="D452" s="15">
        <f>IF(A452="","",B452-C452)</f>
        <v/>
      </c>
      <c r="E452" s="15">
        <f>IF(A452="","",MAX(0,E451-D452))</f>
        <v/>
      </c>
    </row>
    <row r="453">
      <c r="A453" s="14">
        <f>IF(442&gt;$B$6*12,"",442)</f>
        <v/>
      </c>
      <c r="B453" s="15">
        <f>IF(A453="","",$B$7)</f>
        <v/>
      </c>
      <c r="C453" s="15">
        <f>IF(A453="","",E452*$B$5/12)</f>
        <v/>
      </c>
      <c r="D453" s="15">
        <f>IF(A453="","",B453-C453)</f>
        <v/>
      </c>
      <c r="E453" s="15">
        <f>IF(A453="","",MAX(0,E452-D453))</f>
        <v/>
      </c>
    </row>
    <row r="454">
      <c r="A454" s="14">
        <f>IF(443&gt;$B$6*12,"",443)</f>
        <v/>
      </c>
      <c r="B454" s="15">
        <f>IF(A454="","",$B$7)</f>
        <v/>
      </c>
      <c r="C454" s="15">
        <f>IF(A454="","",E453*$B$5/12)</f>
        <v/>
      </c>
      <c r="D454" s="15">
        <f>IF(A454="","",B454-C454)</f>
        <v/>
      </c>
      <c r="E454" s="15">
        <f>IF(A454="","",MAX(0,E453-D454))</f>
        <v/>
      </c>
    </row>
    <row r="455">
      <c r="A455" s="14">
        <f>IF(444&gt;$B$6*12,"",444)</f>
        <v/>
      </c>
      <c r="B455" s="15">
        <f>IF(A455="","",$B$7)</f>
        <v/>
      </c>
      <c r="C455" s="15">
        <f>IF(A455="","",E454*$B$5/12)</f>
        <v/>
      </c>
      <c r="D455" s="15">
        <f>IF(A455="","",B455-C455)</f>
        <v/>
      </c>
      <c r="E455" s="15">
        <f>IF(A455="","",MAX(0,E454-D455))</f>
        <v/>
      </c>
    </row>
    <row r="456">
      <c r="A456" s="14">
        <f>IF(445&gt;$B$6*12,"",445)</f>
        <v/>
      </c>
      <c r="B456" s="15">
        <f>IF(A456="","",$B$7)</f>
        <v/>
      </c>
      <c r="C456" s="15">
        <f>IF(A456="","",E455*$B$5/12)</f>
        <v/>
      </c>
      <c r="D456" s="15">
        <f>IF(A456="","",B456-C456)</f>
        <v/>
      </c>
      <c r="E456" s="15">
        <f>IF(A456="","",MAX(0,E455-D456))</f>
        <v/>
      </c>
    </row>
    <row r="457">
      <c r="A457" s="14">
        <f>IF(446&gt;$B$6*12,"",446)</f>
        <v/>
      </c>
      <c r="B457" s="15">
        <f>IF(A457="","",$B$7)</f>
        <v/>
      </c>
      <c r="C457" s="15">
        <f>IF(A457="","",E456*$B$5/12)</f>
        <v/>
      </c>
      <c r="D457" s="15">
        <f>IF(A457="","",B457-C457)</f>
        <v/>
      </c>
      <c r="E457" s="15">
        <f>IF(A457="","",MAX(0,E456-D457))</f>
        <v/>
      </c>
    </row>
    <row r="458">
      <c r="A458" s="14">
        <f>IF(447&gt;$B$6*12,"",447)</f>
        <v/>
      </c>
      <c r="B458" s="15">
        <f>IF(A458="","",$B$7)</f>
        <v/>
      </c>
      <c r="C458" s="15">
        <f>IF(A458="","",E457*$B$5/12)</f>
        <v/>
      </c>
      <c r="D458" s="15">
        <f>IF(A458="","",B458-C458)</f>
        <v/>
      </c>
      <c r="E458" s="15">
        <f>IF(A458="","",MAX(0,E457-D458))</f>
        <v/>
      </c>
    </row>
    <row r="459">
      <c r="A459" s="14">
        <f>IF(448&gt;$B$6*12,"",448)</f>
        <v/>
      </c>
      <c r="B459" s="15">
        <f>IF(A459="","",$B$7)</f>
        <v/>
      </c>
      <c r="C459" s="15">
        <f>IF(A459="","",E458*$B$5/12)</f>
        <v/>
      </c>
      <c r="D459" s="15">
        <f>IF(A459="","",B459-C459)</f>
        <v/>
      </c>
      <c r="E459" s="15">
        <f>IF(A459="","",MAX(0,E458-D459))</f>
        <v/>
      </c>
    </row>
    <row r="460">
      <c r="A460" s="14">
        <f>IF(449&gt;$B$6*12,"",449)</f>
        <v/>
      </c>
      <c r="B460" s="15">
        <f>IF(A460="","",$B$7)</f>
        <v/>
      </c>
      <c r="C460" s="15">
        <f>IF(A460="","",E459*$B$5/12)</f>
        <v/>
      </c>
      <c r="D460" s="15">
        <f>IF(A460="","",B460-C460)</f>
        <v/>
      </c>
      <c r="E460" s="15">
        <f>IF(A460="","",MAX(0,E459-D460))</f>
        <v/>
      </c>
    </row>
    <row r="461">
      <c r="A461" s="14">
        <f>IF(450&gt;$B$6*12,"",450)</f>
        <v/>
      </c>
      <c r="B461" s="15">
        <f>IF(A461="","",$B$7)</f>
        <v/>
      </c>
      <c r="C461" s="15">
        <f>IF(A461="","",E460*$B$5/12)</f>
        <v/>
      </c>
      <c r="D461" s="15">
        <f>IF(A461="","",B461-C461)</f>
        <v/>
      </c>
      <c r="E461" s="15">
        <f>IF(A461="","",MAX(0,E460-D461))</f>
        <v/>
      </c>
    </row>
    <row r="462">
      <c r="A462" s="14">
        <f>IF(451&gt;$B$6*12,"",451)</f>
        <v/>
      </c>
      <c r="B462" s="15">
        <f>IF(A462="","",$B$7)</f>
        <v/>
      </c>
      <c r="C462" s="15">
        <f>IF(A462="","",E461*$B$5/12)</f>
        <v/>
      </c>
      <c r="D462" s="15">
        <f>IF(A462="","",B462-C462)</f>
        <v/>
      </c>
      <c r="E462" s="15">
        <f>IF(A462="","",MAX(0,E461-D462))</f>
        <v/>
      </c>
    </row>
    <row r="463">
      <c r="A463" s="14">
        <f>IF(452&gt;$B$6*12,"",452)</f>
        <v/>
      </c>
      <c r="B463" s="15">
        <f>IF(A463="","",$B$7)</f>
        <v/>
      </c>
      <c r="C463" s="15">
        <f>IF(A463="","",E462*$B$5/12)</f>
        <v/>
      </c>
      <c r="D463" s="15">
        <f>IF(A463="","",B463-C463)</f>
        <v/>
      </c>
      <c r="E463" s="15">
        <f>IF(A463="","",MAX(0,E462-D463))</f>
        <v/>
      </c>
    </row>
    <row r="464">
      <c r="A464" s="14">
        <f>IF(453&gt;$B$6*12,"",453)</f>
        <v/>
      </c>
      <c r="B464" s="15">
        <f>IF(A464="","",$B$7)</f>
        <v/>
      </c>
      <c r="C464" s="15">
        <f>IF(A464="","",E463*$B$5/12)</f>
        <v/>
      </c>
      <c r="D464" s="15">
        <f>IF(A464="","",B464-C464)</f>
        <v/>
      </c>
      <c r="E464" s="15">
        <f>IF(A464="","",MAX(0,E463-D464))</f>
        <v/>
      </c>
    </row>
    <row r="465">
      <c r="A465" s="14">
        <f>IF(454&gt;$B$6*12,"",454)</f>
        <v/>
      </c>
      <c r="B465" s="15">
        <f>IF(A465="","",$B$7)</f>
        <v/>
      </c>
      <c r="C465" s="15">
        <f>IF(A465="","",E464*$B$5/12)</f>
        <v/>
      </c>
      <c r="D465" s="15">
        <f>IF(A465="","",B465-C465)</f>
        <v/>
      </c>
      <c r="E465" s="15">
        <f>IF(A465="","",MAX(0,E464-D465))</f>
        <v/>
      </c>
    </row>
    <row r="466">
      <c r="A466" s="14">
        <f>IF(455&gt;$B$6*12,"",455)</f>
        <v/>
      </c>
      <c r="B466" s="15">
        <f>IF(A466="","",$B$7)</f>
        <v/>
      </c>
      <c r="C466" s="15">
        <f>IF(A466="","",E465*$B$5/12)</f>
        <v/>
      </c>
      <c r="D466" s="15">
        <f>IF(A466="","",B466-C466)</f>
        <v/>
      </c>
      <c r="E466" s="15">
        <f>IF(A466="","",MAX(0,E465-D466))</f>
        <v/>
      </c>
    </row>
    <row r="467">
      <c r="A467" s="14">
        <f>IF(456&gt;$B$6*12,"",456)</f>
        <v/>
      </c>
      <c r="B467" s="15">
        <f>IF(A467="","",$B$7)</f>
        <v/>
      </c>
      <c r="C467" s="15">
        <f>IF(A467="","",E466*$B$5/12)</f>
        <v/>
      </c>
      <c r="D467" s="15">
        <f>IF(A467="","",B467-C467)</f>
        <v/>
      </c>
      <c r="E467" s="15">
        <f>IF(A467="","",MAX(0,E466-D467))</f>
        <v/>
      </c>
    </row>
    <row r="468">
      <c r="A468" s="14">
        <f>IF(457&gt;$B$6*12,"",457)</f>
        <v/>
      </c>
      <c r="B468" s="15">
        <f>IF(A468="","",$B$7)</f>
        <v/>
      </c>
      <c r="C468" s="15">
        <f>IF(A468="","",E467*$B$5/12)</f>
        <v/>
      </c>
      <c r="D468" s="15">
        <f>IF(A468="","",B468-C468)</f>
        <v/>
      </c>
      <c r="E468" s="15">
        <f>IF(A468="","",MAX(0,E467-D468))</f>
        <v/>
      </c>
    </row>
    <row r="469">
      <c r="A469" s="14">
        <f>IF(458&gt;$B$6*12,"",458)</f>
        <v/>
      </c>
      <c r="B469" s="15">
        <f>IF(A469="","",$B$7)</f>
        <v/>
      </c>
      <c r="C469" s="15">
        <f>IF(A469="","",E468*$B$5/12)</f>
        <v/>
      </c>
      <c r="D469" s="15">
        <f>IF(A469="","",B469-C469)</f>
        <v/>
      </c>
      <c r="E469" s="15">
        <f>IF(A469="","",MAX(0,E468-D469))</f>
        <v/>
      </c>
    </row>
    <row r="470">
      <c r="A470" s="14">
        <f>IF(459&gt;$B$6*12,"",459)</f>
        <v/>
      </c>
      <c r="B470" s="15">
        <f>IF(A470="","",$B$7)</f>
        <v/>
      </c>
      <c r="C470" s="15">
        <f>IF(A470="","",E469*$B$5/12)</f>
        <v/>
      </c>
      <c r="D470" s="15">
        <f>IF(A470="","",B470-C470)</f>
        <v/>
      </c>
      <c r="E470" s="15">
        <f>IF(A470="","",MAX(0,E469-D470))</f>
        <v/>
      </c>
    </row>
    <row r="471">
      <c r="A471" s="14">
        <f>IF(460&gt;$B$6*12,"",460)</f>
        <v/>
      </c>
      <c r="B471" s="15">
        <f>IF(A471="","",$B$7)</f>
        <v/>
      </c>
      <c r="C471" s="15">
        <f>IF(A471="","",E470*$B$5/12)</f>
        <v/>
      </c>
      <c r="D471" s="15">
        <f>IF(A471="","",B471-C471)</f>
        <v/>
      </c>
      <c r="E471" s="15">
        <f>IF(A471="","",MAX(0,E470-D471))</f>
        <v/>
      </c>
    </row>
    <row r="472">
      <c r="A472" s="14">
        <f>IF(461&gt;$B$6*12,"",461)</f>
        <v/>
      </c>
      <c r="B472" s="15">
        <f>IF(A472="","",$B$7)</f>
        <v/>
      </c>
      <c r="C472" s="15">
        <f>IF(A472="","",E471*$B$5/12)</f>
        <v/>
      </c>
      <c r="D472" s="15">
        <f>IF(A472="","",B472-C472)</f>
        <v/>
      </c>
      <c r="E472" s="15">
        <f>IF(A472="","",MAX(0,E471-D472))</f>
        <v/>
      </c>
    </row>
    <row r="473">
      <c r="A473" s="14">
        <f>IF(462&gt;$B$6*12,"",462)</f>
        <v/>
      </c>
      <c r="B473" s="15">
        <f>IF(A473="","",$B$7)</f>
        <v/>
      </c>
      <c r="C473" s="15">
        <f>IF(A473="","",E472*$B$5/12)</f>
        <v/>
      </c>
      <c r="D473" s="15">
        <f>IF(A473="","",B473-C473)</f>
        <v/>
      </c>
      <c r="E473" s="15">
        <f>IF(A473="","",MAX(0,E472-D473))</f>
        <v/>
      </c>
    </row>
    <row r="474">
      <c r="A474" s="14">
        <f>IF(463&gt;$B$6*12,"",463)</f>
        <v/>
      </c>
      <c r="B474" s="15">
        <f>IF(A474="","",$B$7)</f>
        <v/>
      </c>
      <c r="C474" s="15">
        <f>IF(A474="","",E473*$B$5/12)</f>
        <v/>
      </c>
      <c r="D474" s="15">
        <f>IF(A474="","",B474-C474)</f>
        <v/>
      </c>
      <c r="E474" s="15">
        <f>IF(A474="","",MAX(0,E473-D474))</f>
        <v/>
      </c>
    </row>
    <row r="475">
      <c r="A475" s="14">
        <f>IF(464&gt;$B$6*12,"",464)</f>
        <v/>
      </c>
      <c r="B475" s="15">
        <f>IF(A475="","",$B$7)</f>
        <v/>
      </c>
      <c r="C475" s="15">
        <f>IF(A475="","",E474*$B$5/12)</f>
        <v/>
      </c>
      <c r="D475" s="15">
        <f>IF(A475="","",B475-C475)</f>
        <v/>
      </c>
      <c r="E475" s="15">
        <f>IF(A475="","",MAX(0,E474-D475))</f>
        <v/>
      </c>
    </row>
    <row r="476">
      <c r="A476" s="14">
        <f>IF(465&gt;$B$6*12,"",465)</f>
        <v/>
      </c>
      <c r="B476" s="15">
        <f>IF(A476="","",$B$7)</f>
        <v/>
      </c>
      <c r="C476" s="15">
        <f>IF(A476="","",E475*$B$5/12)</f>
        <v/>
      </c>
      <c r="D476" s="15">
        <f>IF(A476="","",B476-C476)</f>
        <v/>
      </c>
      <c r="E476" s="15">
        <f>IF(A476="","",MAX(0,E475-D476))</f>
        <v/>
      </c>
    </row>
    <row r="477">
      <c r="A477" s="14">
        <f>IF(466&gt;$B$6*12,"",466)</f>
        <v/>
      </c>
      <c r="B477" s="15">
        <f>IF(A477="","",$B$7)</f>
        <v/>
      </c>
      <c r="C477" s="15">
        <f>IF(A477="","",E476*$B$5/12)</f>
        <v/>
      </c>
      <c r="D477" s="15">
        <f>IF(A477="","",B477-C477)</f>
        <v/>
      </c>
      <c r="E477" s="15">
        <f>IF(A477="","",MAX(0,E476-D477))</f>
        <v/>
      </c>
    </row>
    <row r="478">
      <c r="A478" s="14">
        <f>IF(467&gt;$B$6*12,"",467)</f>
        <v/>
      </c>
      <c r="B478" s="15">
        <f>IF(A478="","",$B$7)</f>
        <v/>
      </c>
      <c r="C478" s="15">
        <f>IF(A478="","",E477*$B$5/12)</f>
        <v/>
      </c>
      <c r="D478" s="15">
        <f>IF(A478="","",B478-C478)</f>
        <v/>
      </c>
      <c r="E478" s="15">
        <f>IF(A478="","",MAX(0,E477-D478))</f>
        <v/>
      </c>
    </row>
    <row r="479">
      <c r="A479" s="14">
        <f>IF(468&gt;$B$6*12,"",468)</f>
        <v/>
      </c>
      <c r="B479" s="15">
        <f>IF(A479="","",$B$7)</f>
        <v/>
      </c>
      <c r="C479" s="15">
        <f>IF(A479="","",E478*$B$5/12)</f>
        <v/>
      </c>
      <c r="D479" s="15">
        <f>IF(A479="","",B479-C479)</f>
        <v/>
      </c>
      <c r="E479" s="15">
        <f>IF(A479="","",MAX(0,E478-D479))</f>
        <v/>
      </c>
    </row>
    <row r="480">
      <c r="A480" s="14">
        <f>IF(469&gt;$B$6*12,"",469)</f>
        <v/>
      </c>
      <c r="B480" s="15">
        <f>IF(A480="","",$B$7)</f>
        <v/>
      </c>
      <c r="C480" s="15">
        <f>IF(A480="","",E479*$B$5/12)</f>
        <v/>
      </c>
      <c r="D480" s="15">
        <f>IF(A480="","",B480-C480)</f>
        <v/>
      </c>
      <c r="E480" s="15">
        <f>IF(A480="","",MAX(0,E479-D480))</f>
        <v/>
      </c>
    </row>
    <row r="481">
      <c r="A481" s="14">
        <f>IF(470&gt;$B$6*12,"",470)</f>
        <v/>
      </c>
      <c r="B481" s="15">
        <f>IF(A481="","",$B$7)</f>
        <v/>
      </c>
      <c r="C481" s="15">
        <f>IF(A481="","",E480*$B$5/12)</f>
        <v/>
      </c>
      <c r="D481" s="15">
        <f>IF(A481="","",B481-C481)</f>
        <v/>
      </c>
      <c r="E481" s="15">
        <f>IF(A481="","",MAX(0,E480-D481))</f>
        <v/>
      </c>
    </row>
    <row r="482">
      <c r="A482" s="14">
        <f>IF(471&gt;$B$6*12,"",471)</f>
        <v/>
      </c>
      <c r="B482" s="15">
        <f>IF(A482="","",$B$7)</f>
        <v/>
      </c>
      <c r="C482" s="15">
        <f>IF(A482="","",E481*$B$5/12)</f>
        <v/>
      </c>
      <c r="D482" s="15">
        <f>IF(A482="","",B482-C482)</f>
        <v/>
      </c>
      <c r="E482" s="15">
        <f>IF(A482="","",MAX(0,E481-D482))</f>
        <v/>
      </c>
    </row>
    <row r="483">
      <c r="A483" s="14">
        <f>IF(472&gt;$B$6*12,"",472)</f>
        <v/>
      </c>
      <c r="B483" s="15">
        <f>IF(A483="","",$B$7)</f>
        <v/>
      </c>
      <c r="C483" s="15">
        <f>IF(A483="","",E482*$B$5/12)</f>
        <v/>
      </c>
      <c r="D483" s="15">
        <f>IF(A483="","",B483-C483)</f>
        <v/>
      </c>
      <c r="E483" s="15">
        <f>IF(A483="","",MAX(0,E482-D483))</f>
        <v/>
      </c>
    </row>
    <row r="484">
      <c r="A484" s="14">
        <f>IF(473&gt;$B$6*12,"",473)</f>
        <v/>
      </c>
      <c r="B484" s="15">
        <f>IF(A484="","",$B$7)</f>
        <v/>
      </c>
      <c r="C484" s="15">
        <f>IF(A484="","",E483*$B$5/12)</f>
        <v/>
      </c>
      <c r="D484" s="15">
        <f>IF(A484="","",B484-C484)</f>
        <v/>
      </c>
      <c r="E484" s="15">
        <f>IF(A484="","",MAX(0,E483-D484))</f>
        <v/>
      </c>
    </row>
    <row r="485">
      <c r="A485" s="14">
        <f>IF(474&gt;$B$6*12,"",474)</f>
        <v/>
      </c>
      <c r="B485" s="15">
        <f>IF(A485="","",$B$7)</f>
        <v/>
      </c>
      <c r="C485" s="15">
        <f>IF(A485="","",E484*$B$5/12)</f>
        <v/>
      </c>
      <c r="D485" s="15">
        <f>IF(A485="","",B485-C485)</f>
        <v/>
      </c>
      <c r="E485" s="15">
        <f>IF(A485="","",MAX(0,E484-D485))</f>
        <v/>
      </c>
    </row>
    <row r="486">
      <c r="A486" s="14">
        <f>IF(475&gt;$B$6*12,"",475)</f>
        <v/>
      </c>
      <c r="B486" s="15">
        <f>IF(A486="","",$B$7)</f>
        <v/>
      </c>
      <c r="C486" s="15">
        <f>IF(A486="","",E485*$B$5/12)</f>
        <v/>
      </c>
      <c r="D486" s="15">
        <f>IF(A486="","",B486-C486)</f>
        <v/>
      </c>
      <c r="E486" s="15">
        <f>IF(A486="","",MAX(0,E485-D486))</f>
        <v/>
      </c>
    </row>
    <row r="487">
      <c r="A487" s="14">
        <f>IF(476&gt;$B$6*12,"",476)</f>
        <v/>
      </c>
      <c r="B487" s="15">
        <f>IF(A487="","",$B$7)</f>
        <v/>
      </c>
      <c r="C487" s="15">
        <f>IF(A487="","",E486*$B$5/12)</f>
        <v/>
      </c>
      <c r="D487" s="15">
        <f>IF(A487="","",B487-C487)</f>
        <v/>
      </c>
      <c r="E487" s="15">
        <f>IF(A487="","",MAX(0,E486-D487))</f>
        <v/>
      </c>
    </row>
    <row r="488">
      <c r="A488" s="14">
        <f>IF(477&gt;$B$6*12,"",477)</f>
        <v/>
      </c>
      <c r="B488" s="15">
        <f>IF(A488="","",$B$7)</f>
        <v/>
      </c>
      <c r="C488" s="15">
        <f>IF(A488="","",E487*$B$5/12)</f>
        <v/>
      </c>
      <c r="D488" s="15">
        <f>IF(A488="","",B488-C488)</f>
        <v/>
      </c>
      <c r="E488" s="15">
        <f>IF(A488="","",MAX(0,E487-D488))</f>
        <v/>
      </c>
    </row>
    <row r="489">
      <c r="A489" s="14">
        <f>IF(478&gt;$B$6*12,"",478)</f>
        <v/>
      </c>
      <c r="B489" s="15">
        <f>IF(A489="","",$B$7)</f>
        <v/>
      </c>
      <c r="C489" s="15">
        <f>IF(A489="","",E488*$B$5/12)</f>
        <v/>
      </c>
      <c r="D489" s="15">
        <f>IF(A489="","",B489-C489)</f>
        <v/>
      </c>
      <c r="E489" s="15">
        <f>IF(A489="","",MAX(0,E488-D489))</f>
        <v/>
      </c>
    </row>
    <row r="490">
      <c r="A490" s="14">
        <f>IF(479&gt;$B$6*12,"",479)</f>
        <v/>
      </c>
      <c r="B490" s="15">
        <f>IF(A490="","",$B$7)</f>
        <v/>
      </c>
      <c r="C490" s="15">
        <f>IF(A490="","",E489*$B$5/12)</f>
        <v/>
      </c>
      <c r="D490" s="15">
        <f>IF(A490="","",B490-C490)</f>
        <v/>
      </c>
      <c r="E490" s="15">
        <f>IF(A490="","",MAX(0,E489-D490))</f>
        <v/>
      </c>
    </row>
    <row r="491">
      <c r="A491" s="14">
        <f>IF(480&gt;$B$6*12,"",480)</f>
        <v/>
      </c>
      <c r="B491" s="15">
        <f>IF(A491="","",$B$7)</f>
        <v/>
      </c>
      <c r="C491" s="15">
        <f>IF(A491="","",E490*$B$5/12)</f>
        <v/>
      </c>
      <c r="D491" s="15">
        <f>IF(A491="","",B491-C491)</f>
        <v/>
      </c>
      <c r="E491" s="15">
        <f>IF(A491="","",MAX(0,E490-D491))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